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データ" sheetId="3" r:id="rId1"/>
    <sheet name="PT" sheetId="4" r:id="rId2"/>
  </sheets>
  <definedNames>
    <definedName name="_xlnm._FilterDatabase" localSheetId="0">データ!$A$1:$J$1478</definedName>
  </definedNames>
  <calcPr calcId="14562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J1404" i="3" l="1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49" i="3"/>
  <c r="J1348" i="3"/>
  <c r="J907" i="3"/>
  <c r="J899" i="3"/>
  <c r="J888" i="3"/>
  <c r="J870" i="3"/>
  <c r="J850" i="3"/>
  <c r="J849" i="3"/>
  <c r="J829" i="3"/>
  <c r="J803" i="3"/>
  <c r="J796" i="3"/>
  <c r="J787" i="3"/>
  <c r="J786" i="3"/>
  <c r="J785" i="3"/>
  <c r="J777" i="3"/>
  <c r="J705" i="3"/>
  <c r="J704" i="3"/>
  <c r="J696" i="3"/>
  <c r="J671" i="3"/>
  <c r="J657" i="3"/>
  <c r="J614" i="3"/>
  <c r="J606" i="3"/>
  <c r="J538" i="3"/>
  <c r="J518" i="3"/>
  <c r="J301" i="3"/>
  <c r="J271" i="3"/>
  <c r="J264" i="3"/>
  <c r="J77" i="3"/>
  <c r="J22" i="3"/>
  <c r="J395" i="3"/>
  <c r="J392" i="3"/>
  <c r="J203" i="3"/>
  <c r="J1178" i="3"/>
  <c r="J1007" i="3" l="1"/>
  <c r="J1240" i="3"/>
  <c r="J1066" i="3"/>
  <c r="J1065" i="3"/>
  <c r="J441" i="3"/>
  <c r="J251" i="3"/>
  <c r="J442" i="3"/>
  <c r="J1002" i="3"/>
  <c r="J546" i="3"/>
  <c r="J531" i="3"/>
  <c r="J190" i="3"/>
  <c r="J184" i="3"/>
  <c r="J80" i="3"/>
  <c r="J65" i="3"/>
  <c r="J5" i="3"/>
  <c r="J61" i="3"/>
  <c r="J60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389" i="3"/>
  <c r="J1365" i="3"/>
  <c r="J1364" i="3"/>
  <c r="J1363" i="3"/>
  <c r="J1362" i="3"/>
  <c r="J1361" i="3"/>
  <c r="J1359" i="3"/>
  <c r="J1358" i="3"/>
  <c r="J1357" i="3"/>
  <c r="J1356" i="3"/>
  <c r="J1355" i="3"/>
  <c r="J1354" i="3"/>
  <c r="J1353" i="3"/>
  <c r="J1352" i="3"/>
  <c r="J1351" i="3"/>
  <c r="J1350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6" i="3"/>
  <c r="J1005" i="3"/>
  <c r="J1004" i="3"/>
  <c r="J1003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6" i="3"/>
  <c r="J905" i="3"/>
  <c r="J904" i="3"/>
  <c r="J903" i="3"/>
  <c r="J902" i="3"/>
  <c r="J901" i="3"/>
  <c r="J900" i="3"/>
  <c r="J898" i="3"/>
  <c r="J897" i="3"/>
  <c r="J896" i="3"/>
  <c r="J895" i="3"/>
  <c r="J894" i="3"/>
  <c r="J893" i="3"/>
  <c r="J892" i="3"/>
  <c r="J891" i="3"/>
  <c r="J890" i="3"/>
  <c r="J889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2" i="3"/>
  <c r="J801" i="3"/>
  <c r="J800" i="3"/>
  <c r="J799" i="3"/>
  <c r="J798" i="3"/>
  <c r="J797" i="3"/>
  <c r="J795" i="3"/>
  <c r="J794" i="3"/>
  <c r="J793" i="3"/>
  <c r="J792" i="3"/>
  <c r="J791" i="3"/>
  <c r="J790" i="3"/>
  <c r="J789" i="3"/>
  <c r="J788" i="3"/>
  <c r="J784" i="3"/>
  <c r="J783" i="3"/>
  <c r="J782" i="3"/>
  <c r="J781" i="3"/>
  <c r="J780" i="3"/>
  <c r="J779" i="3"/>
  <c r="J778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3" i="3"/>
  <c r="J702" i="3"/>
  <c r="J701" i="3"/>
  <c r="J700" i="3"/>
  <c r="J699" i="3"/>
  <c r="J698" i="3"/>
  <c r="J697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3" i="3"/>
  <c r="J612" i="3"/>
  <c r="J611" i="3"/>
  <c r="J610" i="3"/>
  <c r="J609" i="3"/>
  <c r="J608" i="3"/>
  <c r="J607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5" i="3"/>
  <c r="J544" i="3"/>
  <c r="J543" i="3"/>
  <c r="J542" i="3"/>
  <c r="J541" i="3"/>
  <c r="J540" i="3"/>
  <c r="J539" i="3"/>
  <c r="J537" i="3"/>
  <c r="J536" i="3"/>
  <c r="J535" i="3"/>
  <c r="J534" i="3"/>
  <c r="J533" i="3"/>
  <c r="J532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7" i="3"/>
  <c r="J516" i="3"/>
  <c r="J515" i="3"/>
  <c r="J514" i="3"/>
  <c r="J513" i="3"/>
  <c r="J512" i="3"/>
  <c r="J511" i="3"/>
  <c r="J510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4" i="3"/>
  <c r="J393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0" i="3"/>
  <c r="J269" i="3"/>
  <c r="J268" i="3"/>
  <c r="J267" i="3"/>
  <c r="J266" i="3"/>
  <c r="J265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89" i="3"/>
  <c r="J188" i="3"/>
  <c r="J187" i="3"/>
  <c r="J186" i="3"/>
  <c r="J185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79" i="3"/>
  <c r="J78" i="3"/>
  <c r="J76" i="3"/>
  <c r="J75" i="3"/>
  <c r="J74" i="3"/>
  <c r="J73" i="3"/>
  <c r="J72" i="3"/>
  <c r="J71" i="3"/>
  <c r="J70" i="3"/>
  <c r="J69" i="3"/>
  <c r="J68" i="3"/>
  <c r="J67" i="3"/>
  <c r="J66" i="3"/>
  <c r="J64" i="3"/>
  <c r="J63" i="3"/>
  <c r="J62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5" i="3"/>
  <c r="J24" i="3"/>
  <c r="J23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4" i="3"/>
  <c r="J3" i="3"/>
  <c r="J2" i="3"/>
</calcChain>
</file>

<file path=xl/sharedStrings.xml><?xml version="1.0" encoding="utf-8"?>
<sst xmlns="http://schemas.openxmlformats.org/spreadsheetml/2006/main" count="7948" uniqueCount="3490">
  <si>
    <t>針灸大全</t>
  </si>
  <si>
    <t>素問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</si>
  <si>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</t>
    </r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</si>
  <si>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經素問_條列版</t>
    </r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</si>
  <si>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經素問遺篇_1</t>
    </r>
  </si>
  <si>
    <r>
      <t>重廣補注黃帝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 ****</t>
    </r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</si>
  <si>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經素問補註釋文</t>
    </r>
  </si>
  <si>
    <t>素問經注節解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</si>
  <si>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經素問校義</t>
    </r>
  </si>
  <si>
    <t>黃帝素問直解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</si>
  <si>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經素問集註</t>
    </r>
  </si>
  <si>
    <t>黃帝經世素問合編</t>
  </si>
  <si>
    <t>素問識</t>
  </si>
  <si>
    <t>讀素問鈔</t>
  </si>
  <si>
    <t>素問紹識</t>
  </si>
  <si>
    <t>素問懸解</t>
  </si>
  <si>
    <r>
      <t>素問</t>
    </r>
    <r>
      <rPr>
        <sz val="11"/>
        <color theme="1"/>
        <rFont val="游ゴシック"/>
        <family val="3"/>
        <charset val="129"/>
        <scheme val="minor"/>
      </rPr>
      <t>吳</t>
    </r>
    <r>
      <rPr>
        <sz val="11"/>
        <color theme="1"/>
        <rFont val="游ゴシック"/>
        <family val="2"/>
        <charset val="128"/>
        <scheme val="minor"/>
      </rPr>
      <t>註</t>
    </r>
  </si>
  <si>
    <t>素問要旨論</t>
  </si>
  <si>
    <t>素問要旨論_1</t>
  </si>
  <si>
    <t>素問六氣玄珠密語</t>
  </si>
  <si>
    <t>素問病機氣宜保命集</t>
  </si>
  <si>
    <t>素問病機氣宜保命集_1</t>
  </si>
  <si>
    <t>醫宗金鑑·運氣要訣</t>
  </si>
  <si>
    <t>運氣證治歌訣</t>
  </si>
  <si>
    <t>素問心得</t>
  </si>
  <si>
    <t>素問記聞</t>
  </si>
  <si>
    <t>素問入式運氣論奧</t>
  </si>
  <si>
    <t>靈樞</t>
  </si>
  <si>
    <t>靈樞_條列版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</si>
  <si>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經靈樞集註</t>
    </r>
  </si>
  <si>
    <t>靈樞識</t>
  </si>
  <si>
    <t>靈樞懸解</t>
  </si>
  <si>
    <t>靈樞心得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</si>
  <si>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經靈樞略</t>
    </r>
  </si>
  <si>
    <t>黃帝素問靈樞集註</t>
  </si>
  <si>
    <t>綜合</t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</si>
  <si>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經太素</t>
    </r>
  </si>
  <si>
    <r>
      <t>內</t>
    </r>
    <r>
      <rPr>
        <sz val="11"/>
        <color theme="1"/>
        <rFont val="游ゴシック"/>
        <family val="2"/>
        <charset val="128"/>
        <scheme val="minor"/>
      </rPr>
      <t>經評文</t>
    </r>
  </si>
  <si>
    <t>醫家千字文</t>
  </si>
  <si>
    <r>
      <t>內</t>
    </r>
    <r>
      <rPr>
        <sz val="11"/>
        <color theme="1"/>
        <rFont val="游ゴシック"/>
        <family val="2"/>
        <charset val="128"/>
        <scheme val="minor"/>
      </rPr>
      <t>經辨言</t>
    </r>
  </si>
  <si>
    <r>
      <t>黃帝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經靈樞註證發微</t>
    </r>
  </si>
  <si>
    <t>類經</t>
  </si>
  <si>
    <t>類經_1</t>
  </si>
  <si>
    <t>類經卷五六色脈篇_條列版</t>
  </si>
  <si>
    <r>
      <t>內</t>
    </r>
    <r>
      <rPr>
        <sz val="11"/>
        <color theme="1"/>
        <rFont val="游ゴシック"/>
        <family val="2"/>
        <charset val="128"/>
        <scheme val="minor"/>
      </rPr>
      <t>經知要</t>
    </r>
  </si>
  <si>
    <t>素問靈樞類纂約註</t>
  </si>
  <si>
    <t>靈素節注類編</t>
  </si>
  <si>
    <t>醫經原旨</t>
  </si>
  <si>
    <r>
      <t>內</t>
    </r>
    <r>
      <rPr>
        <sz val="11"/>
        <color theme="1"/>
        <rFont val="游ゴシック"/>
        <family val="2"/>
        <charset val="128"/>
        <scheme val="minor"/>
      </rPr>
      <t>經藥瀹</t>
    </r>
  </si>
  <si>
    <t>醫經讀</t>
  </si>
  <si>
    <t>中西匯通醫經精義</t>
  </si>
  <si>
    <t>黃帝素問宣明論方</t>
  </si>
  <si>
    <t>黃帝素問宣明論方_1</t>
  </si>
  <si>
    <r>
      <t>內</t>
    </r>
    <r>
      <rPr>
        <sz val="11"/>
        <color theme="1"/>
        <rFont val="游ゴシック"/>
        <family val="2"/>
        <charset val="128"/>
        <scheme val="minor"/>
      </rPr>
      <t>經博議</t>
    </r>
  </si>
  <si>
    <r>
      <t>內</t>
    </r>
    <r>
      <rPr>
        <sz val="11"/>
        <color theme="1"/>
        <rFont val="游ゴシック"/>
        <family val="2"/>
        <charset val="128"/>
        <scheme val="minor"/>
      </rPr>
      <t>經運氣病釋</t>
    </r>
  </si>
  <si>
    <r>
      <t>內</t>
    </r>
    <r>
      <rPr>
        <sz val="11"/>
        <color theme="1"/>
        <rFont val="游ゴシック"/>
        <family val="2"/>
        <charset val="128"/>
        <scheme val="minor"/>
      </rPr>
      <t>經運氣表</t>
    </r>
  </si>
  <si>
    <r>
      <t>內</t>
    </r>
    <r>
      <rPr>
        <sz val="11"/>
        <color theme="1"/>
        <rFont val="游ゴシック"/>
        <family val="2"/>
        <charset val="128"/>
        <scheme val="minor"/>
      </rPr>
      <t>經難字音義</t>
    </r>
  </si>
  <si>
    <t>運氣易覽</t>
  </si>
  <si>
    <t>外經微言</t>
  </si>
  <si>
    <t>四聖懸樞</t>
  </si>
  <si>
    <t>素靈微蘊</t>
  </si>
  <si>
    <t>八十一難經 ****</t>
  </si>
  <si>
    <t>古本難經闡註 ****</t>
  </si>
  <si>
    <t>難經集註</t>
  </si>
  <si>
    <t>難經古義</t>
  </si>
  <si>
    <t>難經正義</t>
  </si>
  <si>
    <t>難經經釋 ****</t>
  </si>
  <si>
    <t>難經本義</t>
  </si>
  <si>
    <t>難經本義_條列版</t>
  </si>
  <si>
    <t>難經疏證</t>
  </si>
  <si>
    <t>難經懸解</t>
  </si>
  <si>
    <t>鍥王氏秘傳圖註八十一難經評林捷徑統宗</t>
  </si>
  <si>
    <t>黃帝八十一難經纂圖句解</t>
  </si>
  <si>
    <t>其他</t>
  </si>
  <si>
    <t>馬王堆簡帛</t>
  </si>
  <si>
    <t>黃帝外經</t>
  </si>
  <si>
    <t>診法類</t>
  </si>
  <si>
    <t>醫燈續焰</t>
  </si>
  <si>
    <t>察病指南</t>
  </si>
  <si>
    <t>四診抉微</t>
  </si>
  <si>
    <t>醫宗金鑑·四診心法要訣</t>
  </si>
  <si>
    <t>醫會元要</t>
  </si>
  <si>
    <t>醫學指要</t>
  </si>
  <si>
    <t>重訂診家直訣 ****</t>
  </si>
  <si>
    <t>醫階辨證</t>
  </si>
  <si>
    <t>醫驗隨筆</t>
  </si>
  <si>
    <t>證治心傳</t>
  </si>
  <si>
    <t>證治心傳_1</t>
  </si>
  <si>
    <t>脈診</t>
  </si>
  <si>
    <t>脈經</t>
  </si>
  <si>
    <t>脈經_1</t>
  </si>
  <si>
    <r>
      <t>脈訣指掌病式圖</t>
    </r>
    <r>
      <rPr>
        <sz val="11"/>
        <color theme="1"/>
        <rFont val="游ゴシック"/>
        <family val="3"/>
        <charset val="129"/>
        <scheme val="minor"/>
      </rPr>
      <t>說</t>
    </r>
  </si>
  <si>
    <t>脈確</t>
  </si>
  <si>
    <t>瀕湖脈學</t>
  </si>
  <si>
    <t>瀕湖脈學脈訣</t>
  </si>
  <si>
    <t>脈訣乳海</t>
  </si>
  <si>
    <t>訂正太素脈秘訣</t>
  </si>
  <si>
    <t>脈訣彙辨</t>
  </si>
  <si>
    <t>脈訣考證</t>
  </si>
  <si>
    <t>診家正眼</t>
  </si>
  <si>
    <t>三指禪</t>
  </si>
  <si>
    <t>診宗三昧</t>
  </si>
  <si>
    <t>診家樞要</t>
  </si>
  <si>
    <t>脈理求真</t>
  </si>
  <si>
    <t>脈訣</t>
  </si>
  <si>
    <t>脈訣刊誤</t>
  </si>
  <si>
    <t>脈象統類</t>
  </si>
  <si>
    <t>諸脈主病詩</t>
  </si>
  <si>
    <t>脈經鈔</t>
  </si>
  <si>
    <t>脈訣新編</t>
  </si>
  <si>
    <t>醫學脈燈</t>
  </si>
  <si>
    <t>脈理集要</t>
  </si>
  <si>
    <t>脈學類編</t>
  </si>
  <si>
    <t>脈貫</t>
  </si>
  <si>
    <t>脈學輯要</t>
  </si>
  <si>
    <t>脈義簡摩</t>
  </si>
  <si>
    <t>脈簡補義</t>
  </si>
  <si>
    <t>辨脈平脈章句</t>
  </si>
  <si>
    <t>脈訣闡微</t>
  </si>
  <si>
    <t>脈訣闡微_1</t>
  </si>
  <si>
    <t>脈語</t>
  </si>
  <si>
    <t>丹溪脈訣指掌</t>
  </si>
  <si>
    <t>重訂時行伏陰芻言</t>
  </si>
  <si>
    <t>診脈三十二辨</t>
  </si>
  <si>
    <t>診脈三十二辨_1</t>
  </si>
  <si>
    <t>醫學真經察脈總括</t>
  </si>
  <si>
    <t>鍥王氏秘傳叔和圖注釋義脉訣評林捷徑統宗</t>
  </si>
  <si>
    <t>新刊勿聽子俗解脈訣</t>
  </si>
  <si>
    <t>新編診脈須知</t>
  </si>
  <si>
    <t>圖註王叔和脈訣</t>
  </si>
  <si>
    <t>望診</t>
  </si>
  <si>
    <t>形色外診簡摩</t>
  </si>
  <si>
    <t>望診遵經</t>
  </si>
  <si>
    <t>舌診</t>
  </si>
  <si>
    <t>敖氏傷寒金鏡錄</t>
  </si>
  <si>
    <t>臨症驗舌法</t>
  </si>
  <si>
    <t>察舌辨症新法</t>
  </si>
  <si>
    <t>傷寒舌鑑</t>
  </si>
  <si>
    <t>舌診問答</t>
  </si>
  <si>
    <t>辨舌指南</t>
  </si>
  <si>
    <t>本草類</t>
  </si>
  <si>
    <t>唐以前本草</t>
  </si>
  <si>
    <t>神農本草經</t>
  </si>
  <si>
    <t>神農本草經_1</t>
  </si>
  <si>
    <t>神農本草經_2</t>
  </si>
  <si>
    <r>
      <t>吳</t>
    </r>
    <r>
      <rPr>
        <sz val="11"/>
        <color theme="1"/>
        <rFont val="游ゴシック"/>
        <family val="2"/>
        <charset val="128"/>
        <scheme val="minor"/>
      </rPr>
      <t>普本草</t>
    </r>
  </si>
  <si>
    <t>本草經集註</t>
  </si>
  <si>
    <t>新修本草</t>
  </si>
  <si>
    <t>海藥本草</t>
  </si>
  <si>
    <t>本草圖經</t>
  </si>
  <si>
    <t>名醫別錄</t>
  </si>
  <si>
    <t>食療本草</t>
  </si>
  <si>
    <t>宋金元本草</t>
  </si>
  <si>
    <t>證類本草</t>
  </si>
  <si>
    <t>本草衍義</t>
  </si>
  <si>
    <t>湯液本草</t>
  </si>
  <si>
    <t>本草發揮</t>
  </si>
  <si>
    <t>本草集方</t>
  </si>
  <si>
    <t>紹興本草</t>
  </si>
  <si>
    <t>珍珠囊藥性賦</t>
  </si>
  <si>
    <t>珍珠囊補遺藥性賦</t>
  </si>
  <si>
    <t>增廣和劑局方藥性總論</t>
  </si>
  <si>
    <t>本草衍句</t>
  </si>
  <si>
    <t>明代本草</t>
  </si>
  <si>
    <t>神農本草經疏</t>
  </si>
  <si>
    <t>滇南本草</t>
  </si>
  <si>
    <t>本草品彙精要</t>
  </si>
  <si>
    <t>證治本草</t>
  </si>
  <si>
    <t>救荒本草</t>
  </si>
  <si>
    <t>本草蒙筌</t>
  </si>
  <si>
    <t>本草綱目</t>
  </si>
  <si>
    <t>本草乘雅半偈</t>
  </si>
  <si>
    <t>本草徵要</t>
  </si>
  <si>
    <t>本草易讀</t>
  </si>
  <si>
    <t>雷公炮製藥性解</t>
  </si>
  <si>
    <t>藥鑑</t>
  </si>
  <si>
    <t>本草正</t>
  </si>
  <si>
    <t>本草通玄</t>
  </si>
  <si>
    <t>本草彙言</t>
  </si>
  <si>
    <t>食物本草</t>
  </si>
  <si>
    <t>本草詳節</t>
  </si>
  <si>
    <t>本草約言</t>
  </si>
  <si>
    <t>清以後本草</t>
  </si>
  <si>
    <t>食物本草會纂</t>
  </si>
  <si>
    <t>本草備要</t>
  </si>
  <si>
    <t>本草備要_條列版</t>
  </si>
  <si>
    <t>增訂圖註本草備要</t>
  </si>
  <si>
    <t>要藥分劑</t>
  </si>
  <si>
    <t>本草新編</t>
  </si>
  <si>
    <t>本經逢原</t>
  </si>
  <si>
    <t>本經逢原_1</t>
  </si>
  <si>
    <t>本草經解</t>
  </si>
  <si>
    <t>本草從新</t>
  </si>
  <si>
    <t>神農本草經讀</t>
  </si>
  <si>
    <t>神農本草經讀_條列版</t>
  </si>
  <si>
    <t>神農本草經百種錄 ****</t>
  </si>
  <si>
    <t>本草綱目拾遺</t>
  </si>
  <si>
    <t>本草崇原</t>
  </si>
  <si>
    <t>本草求真</t>
  </si>
  <si>
    <t>本草求真_1</t>
  </si>
  <si>
    <t>本草述鉤元</t>
  </si>
  <si>
    <t>本草思辨錄 ****</t>
  </si>
  <si>
    <t>本草綱目別名錄</t>
  </si>
  <si>
    <t>本草撮要</t>
  </si>
  <si>
    <t>本草問答</t>
  </si>
  <si>
    <t>本草擇要綱目</t>
  </si>
  <si>
    <t>得配本草</t>
  </si>
  <si>
    <t>本草害利</t>
  </si>
  <si>
    <t>本草分經</t>
  </si>
  <si>
    <t>藥性切用</t>
  </si>
  <si>
    <t>藥論</t>
  </si>
  <si>
    <t>本草正義</t>
  </si>
  <si>
    <t>長沙藥解</t>
  </si>
  <si>
    <t>玉楸藥解</t>
  </si>
  <si>
    <t>本經疏證 ***</t>
  </si>
  <si>
    <t>食鑑本草</t>
  </si>
  <si>
    <t>本草便讀</t>
  </si>
  <si>
    <t>神農本草經贊</t>
  </si>
  <si>
    <t>藥症忌宜</t>
  </si>
  <si>
    <t>增訂偽藥條辨</t>
  </si>
  <si>
    <t>本草和名</t>
  </si>
  <si>
    <t>藥種抄</t>
  </si>
  <si>
    <t>穀類抄</t>
  </si>
  <si>
    <t>香要抄</t>
  </si>
  <si>
    <t>藥性能毒</t>
  </si>
  <si>
    <t>藥徵</t>
  </si>
  <si>
    <t>藥徵續編</t>
  </si>
  <si>
    <t>漢藥研究綱要</t>
  </si>
  <si>
    <t>中國藥物學大綱</t>
  </si>
  <si>
    <t>鹿茸之研究</t>
  </si>
  <si>
    <t>犀黃之研究</t>
  </si>
  <si>
    <t>中國藥一百種之化學實驗</t>
  </si>
  <si>
    <t>漢藥良劣鑑別法</t>
  </si>
  <si>
    <t>中國醫藥論文集</t>
  </si>
  <si>
    <t>雷公炮炙論</t>
  </si>
  <si>
    <t>瀕湖炮炙法</t>
  </si>
  <si>
    <t>炮炙大法</t>
  </si>
  <si>
    <t>炮炙全書</t>
  </si>
  <si>
    <t>五十二病方</t>
  </si>
  <si>
    <t>肘後備急方</t>
  </si>
  <si>
    <t>孫真人海上方</t>
  </si>
  <si>
    <t>仙授理傷續斷秘方</t>
  </si>
  <si>
    <t>華佗神方</t>
  </si>
  <si>
    <t>小品方</t>
  </si>
  <si>
    <t>太平聖惠方</t>
  </si>
  <si>
    <t>博濟方</t>
  </si>
  <si>
    <t>蘇沈良方</t>
  </si>
  <si>
    <t>史載之方</t>
  </si>
  <si>
    <t>太平惠民和劑局方</t>
  </si>
  <si>
    <t>太平惠民和劑局方_1</t>
  </si>
  <si>
    <t>聖濟總錄</t>
  </si>
  <si>
    <t>聖濟總錄纂要</t>
  </si>
  <si>
    <t>雞峰普濟方</t>
  </si>
  <si>
    <t>普濟本事方</t>
  </si>
  <si>
    <t>洪氏集驗方</t>
  </si>
  <si>
    <t>楊氏家藏方</t>
  </si>
  <si>
    <t>千金寶要</t>
  </si>
  <si>
    <t>全生指迷方</t>
  </si>
  <si>
    <t>婦人大全良方</t>
  </si>
  <si>
    <t>仁齋直指方論</t>
  </si>
  <si>
    <t>嚴氏濟生方</t>
  </si>
  <si>
    <t>瑞竹堂經驗方</t>
  </si>
  <si>
    <t>瑞竹堂經驗方（四庫本）</t>
  </si>
  <si>
    <t>御藥院方</t>
  </si>
  <si>
    <t>世醫得效方</t>
  </si>
  <si>
    <t>是齋百一選方</t>
  </si>
  <si>
    <t>傳信適用方</t>
  </si>
  <si>
    <t>活人事證方後集</t>
  </si>
  <si>
    <t>類編朱氏集驗醫方</t>
  </si>
  <si>
    <t>嶺南衛生方</t>
  </si>
  <si>
    <t>絳雪丹書</t>
  </si>
  <si>
    <t>急救仙方</t>
  </si>
  <si>
    <t>急救良方</t>
  </si>
  <si>
    <t>衛生易簡方</t>
  </si>
  <si>
    <t>普濟方</t>
  </si>
  <si>
    <t>普濟方·嬰孩門</t>
  </si>
  <si>
    <t>奇效良方</t>
  </si>
  <si>
    <t>醫方考</t>
  </si>
  <si>
    <t>仁術便覽</t>
  </si>
  <si>
    <t>魯府禁方</t>
  </si>
  <si>
    <t>祖劑</t>
  </si>
  <si>
    <t>醫便</t>
  </si>
  <si>
    <t>證治準繩·類方</t>
  </si>
  <si>
    <t>扶壽精方</t>
  </si>
  <si>
    <t>醫方選要</t>
  </si>
  <si>
    <t>傅氏雜方</t>
  </si>
  <si>
    <r>
      <t>金鏡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臺方議</t>
    </r>
  </si>
  <si>
    <t>萬氏家抄濟世良方</t>
  </si>
  <si>
    <t>醫方捷徑指南全書</t>
  </si>
  <si>
    <t>種福堂公選良方</t>
  </si>
  <si>
    <t>成方切用</t>
  </si>
  <si>
    <t>時方妙用</t>
  </si>
  <si>
    <t>十劑表</t>
  </si>
  <si>
    <t>太醫院秘藏膏丹丸散方劑</t>
  </si>
  <si>
    <t>古方彙精</t>
  </si>
  <si>
    <r>
      <t>喻</t>
    </r>
    <r>
      <rPr>
        <sz val="11"/>
        <color theme="1"/>
        <rFont val="游ゴシック"/>
        <family val="2"/>
        <charset val="128"/>
        <scheme val="minor"/>
      </rPr>
      <t>選古方試驗</t>
    </r>
  </si>
  <si>
    <t>醫論拾遺</t>
  </si>
  <si>
    <t>不知醫必要</t>
  </si>
  <si>
    <t>醫通祖方</t>
  </si>
  <si>
    <t>丁甘仁先生家傳珍方</t>
  </si>
  <si>
    <t>醫方絜度</t>
  </si>
  <si>
    <t>儒醫心鏡</t>
  </si>
  <si>
    <t>不謝方一卷</t>
  </si>
  <si>
    <t>歷驗再壽編</t>
  </si>
  <si>
    <t>和緩遺風</t>
  </si>
  <si>
    <t>靈藥秘方</t>
  </si>
  <si>
    <t>行軍方便便方</t>
  </si>
  <si>
    <t>重訂痧疫指迷</t>
  </si>
  <si>
    <t>金氏門診方案</t>
  </si>
  <si>
    <t>救生集</t>
  </si>
  <si>
    <t>秘方集驗</t>
  </si>
  <si>
    <t>醫方簡義</t>
  </si>
  <si>
    <t>醫宗金鑑·刪補名醫方論</t>
  </si>
  <si>
    <t>古今名醫方論</t>
  </si>
  <si>
    <t>醫方集解</t>
  </si>
  <si>
    <t>醫方集解_條列版</t>
  </si>
  <si>
    <t>絳雪園古方選註</t>
  </si>
  <si>
    <t>醫方論</t>
  </si>
  <si>
    <t>大小諸證方論</t>
  </si>
  <si>
    <t>經方例釋</t>
  </si>
  <si>
    <t>類證普濟本事方釋義</t>
  </si>
  <si>
    <t>湯頭歌訣</t>
  </si>
  <si>
    <t>時方歌括</t>
  </si>
  <si>
    <t>長沙方歌括</t>
  </si>
  <si>
    <t>金匱方歌括</t>
  </si>
  <si>
    <t>醫方證治彙編歌訣</t>
  </si>
  <si>
    <t>醫方歌括</t>
  </si>
  <si>
    <t>增訂醫方歌訣</t>
  </si>
  <si>
    <t>退思集類方歌註</t>
  </si>
  <si>
    <t>診驗醫方歌括</t>
  </si>
  <si>
    <t>成方便讀</t>
  </si>
  <si>
    <t>藥治通義</t>
  </si>
  <si>
    <t>方劑辭典</t>
  </si>
  <si>
    <t>奇正方</t>
  </si>
  <si>
    <t>類聚方</t>
  </si>
  <si>
    <t>方機</t>
  </si>
  <si>
    <t>救急選方</t>
  </si>
  <si>
    <t>名家方選</t>
  </si>
  <si>
    <t>家塾方與方極</t>
  </si>
  <si>
    <t>醫略抄</t>
  </si>
  <si>
    <t>古方分量考</t>
  </si>
  <si>
    <t>急救便方</t>
  </si>
  <si>
    <t>奇方類編</t>
  </si>
  <si>
    <r>
      <t>串雅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外編</t>
    </r>
  </si>
  <si>
    <t>串雅補</t>
  </si>
  <si>
    <t>串雅外編</t>
  </si>
  <si>
    <t>驗方新編</t>
  </si>
  <si>
    <t>濟世神驗良方</t>
  </si>
  <si>
    <t>神仙濟世良方</t>
  </si>
  <si>
    <t>旅舍備要方</t>
  </si>
  <si>
    <t>經驗丹方彙編</t>
  </si>
  <si>
    <t>集驗方</t>
  </si>
  <si>
    <t>奇效簡便良方</t>
  </si>
  <si>
    <t>惠直堂經驗方</t>
  </si>
  <si>
    <t>絳囊撮要</t>
  </si>
  <si>
    <t>經驗奇方</t>
  </si>
  <si>
    <t>外治壽世方</t>
  </si>
  <si>
    <t>文堂集驗方</t>
  </si>
  <si>
    <t>回生集</t>
  </si>
  <si>
    <t>本草簡要方</t>
  </si>
  <si>
    <t>疑難急症簡方</t>
  </si>
  <si>
    <t>外科經驗方</t>
  </si>
  <si>
    <t>雞鳴錄</t>
  </si>
  <si>
    <r>
      <t>春</t>
    </r>
    <r>
      <rPr>
        <sz val="11"/>
        <color theme="1"/>
        <rFont val="游ゴシック"/>
        <family val="3"/>
        <charset val="136"/>
        <scheme val="minor"/>
      </rPr>
      <t>腳</t>
    </r>
    <r>
      <rPr>
        <sz val="11"/>
        <color theme="1"/>
        <rFont val="游ゴシック"/>
        <family val="2"/>
        <charset val="128"/>
        <scheme val="minor"/>
      </rPr>
      <t>集</t>
    </r>
  </si>
  <si>
    <t>濟世珍寶</t>
  </si>
  <si>
    <r>
      <t>吳</t>
    </r>
    <r>
      <rPr>
        <sz val="11"/>
        <color theme="1"/>
        <rFont val="游ゴシック"/>
        <family val="2"/>
        <charset val="128"/>
        <scheme val="minor"/>
      </rPr>
      <t>氏醫方彙編</t>
    </r>
  </si>
  <si>
    <t>臨證一得方</t>
  </si>
  <si>
    <t>溫隱居海上仙方</t>
  </si>
  <si>
    <t>葉氏錄驗方</t>
  </si>
  <si>
    <t>經驗良方全集</t>
  </si>
  <si>
    <t>醫方拾錦</t>
  </si>
  <si>
    <t>益世經驗良方</t>
  </si>
  <si>
    <t>張愛廬臨證經驗方</t>
  </si>
  <si>
    <t>怪證奇方</t>
  </si>
  <si>
    <t>海上仙方後集</t>
  </si>
  <si>
    <t>應急良方</t>
  </si>
  <si>
    <t>潛齋簡效方</t>
  </si>
  <si>
    <t>四科簡效方</t>
  </si>
  <si>
    <t>校訂願體醫話良方</t>
  </si>
  <si>
    <t>種杏仙方</t>
  </si>
  <si>
    <t>本草單方</t>
  </si>
  <si>
    <t>凌臨靈方</t>
  </si>
  <si>
    <t>丹方之研究</t>
  </si>
  <si>
    <t>傅氏驗方秘方</t>
  </si>
  <si>
    <t>經驗選秘</t>
  </si>
  <si>
    <t>良朋彙集經驗神方</t>
  </si>
  <si>
    <t>菉竹堂集驗方</t>
  </si>
  <si>
    <t>䱐溪秘傳簡驗方</t>
  </si>
  <si>
    <t>靈驗良方彙編</t>
  </si>
  <si>
    <t>虺後方</t>
  </si>
  <si>
    <t>奇經八脈考</t>
  </si>
  <si>
    <t>凌門傳授銅人指穴</t>
  </si>
  <si>
    <t>針灸神書</t>
  </si>
  <si>
    <t>針灸甲乙經</t>
  </si>
  <si>
    <t>針灸甲乙經_1</t>
  </si>
  <si>
    <t>金針秘傳</t>
  </si>
  <si>
    <t>針灸集成</t>
  </si>
  <si>
    <t>扁鵲神應針灸玉龍經</t>
  </si>
  <si>
    <t>楊敬齋針灸全書</t>
  </si>
  <si>
    <t>經絡彙編</t>
  </si>
  <si>
    <t>經絡全書</t>
  </si>
  <si>
    <t>針灸易學</t>
  </si>
  <si>
    <t>普濟方·針灸門</t>
  </si>
  <si>
    <t>針灸聚英</t>
  </si>
  <si>
    <t>針灸聚英_1</t>
  </si>
  <si>
    <t>醫宗金鑑·刺灸心法要訣</t>
  </si>
  <si>
    <t>針灸問對</t>
  </si>
  <si>
    <t>針灸問對_1</t>
  </si>
  <si>
    <t>針經指南</t>
  </si>
  <si>
    <t>黃帝明堂灸經</t>
  </si>
  <si>
    <t>針經節要</t>
  </si>
  <si>
    <t>針灸資生經</t>
  </si>
  <si>
    <t>針灸素難要旨</t>
  </si>
  <si>
    <t>經穴彙解</t>
  </si>
  <si>
    <t>西方子明堂灸經</t>
  </si>
  <si>
    <t>靈樞經脈翼</t>
  </si>
  <si>
    <t>經絡考</t>
  </si>
  <si>
    <t>十四經發揮</t>
  </si>
  <si>
    <t>十四經發揮_1</t>
  </si>
  <si>
    <t>針灸大成</t>
  </si>
  <si>
    <t>針灸大成_1</t>
  </si>
  <si>
    <t>針灸節要</t>
  </si>
  <si>
    <t>神應經</t>
  </si>
  <si>
    <t>針灸逢源</t>
  </si>
  <si>
    <t>類經圖翼</t>
  </si>
  <si>
    <t>考正周身穴法歌</t>
  </si>
  <si>
    <t>資生集</t>
  </si>
  <si>
    <r>
      <t>中西匯參銅人圖</t>
    </r>
    <r>
      <rPr>
        <sz val="11"/>
        <color theme="1"/>
        <rFont val="游ゴシック"/>
        <family val="3"/>
        <charset val="129"/>
        <scheme val="minor"/>
      </rPr>
      <t>說</t>
    </r>
  </si>
  <si>
    <t>針灸問答</t>
  </si>
  <si>
    <t>經脈圖考</t>
  </si>
  <si>
    <t>勉學堂針灸集成</t>
  </si>
  <si>
    <t>證治針經</t>
  </si>
  <si>
    <t>脈度運行考</t>
  </si>
  <si>
    <t>針灸學綱要</t>
  </si>
  <si>
    <t>針方六集</t>
  </si>
  <si>
    <t>針學通論</t>
  </si>
  <si>
    <t>經穴纂要</t>
  </si>
  <si>
    <t>身經通考</t>
  </si>
  <si>
    <t>子午流注針經</t>
  </si>
  <si>
    <t>灸膏肓腧穴法</t>
  </si>
  <si>
    <t>灸法秘傳</t>
  </si>
  <si>
    <r>
      <t>子午流注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難</t>
    </r>
  </si>
  <si>
    <t>宋本備急灸法</t>
  </si>
  <si>
    <t>神灸經綸</t>
  </si>
  <si>
    <t>楊成博先生遺留穴道秘書</t>
  </si>
  <si>
    <t>選針三要集</t>
  </si>
  <si>
    <t>推拿抉微</t>
  </si>
  <si>
    <t>釐正按摩要術</t>
  </si>
  <si>
    <t>銅人針灸經</t>
  </si>
  <si>
    <t>銅人腧穴針灸圖經</t>
  </si>
  <si>
    <t>新刊補註銅人腧穴針灸圖經</t>
  </si>
  <si>
    <t>傷寒金匱類</t>
  </si>
  <si>
    <t>傷寒</t>
  </si>
  <si>
    <t>傷寒論（宋本）</t>
  </si>
  <si>
    <t>傷寒雜病論（桂林古本） ****</t>
  </si>
  <si>
    <t>古本康平傷寒論</t>
  </si>
  <si>
    <t>傷寒雜病論集解</t>
  </si>
  <si>
    <t>註解傷寒論</t>
  </si>
  <si>
    <t>張卿子傷寒論</t>
  </si>
  <si>
    <t>傷寒論翼</t>
  </si>
  <si>
    <t>傷寒微旨論</t>
  </si>
  <si>
    <t>傷寒標本心法類萃</t>
  </si>
  <si>
    <t>傷寒標本心法類萃_1</t>
  </si>
  <si>
    <t>類證活人書</t>
  </si>
  <si>
    <t>類證活人書_1</t>
  </si>
  <si>
    <t>傷寒直格</t>
  </si>
  <si>
    <t>傷寒直格_1</t>
  </si>
  <si>
    <t>傷寒溯源集</t>
  </si>
  <si>
    <t>傷寒來蘇集</t>
  </si>
  <si>
    <t>傷寒論註來蘇集</t>
  </si>
  <si>
    <t>傷寒論條辨</t>
  </si>
  <si>
    <t>傷寒論條辨_1</t>
  </si>
  <si>
    <t>傷寒懸解</t>
  </si>
  <si>
    <t>傷寒論綱目</t>
  </si>
  <si>
    <t>傷寒論輯義</t>
  </si>
  <si>
    <t>傷寒貫珠集</t>
  </si>
  <si>
    <t>傷寒貫珠集_1</t>
  </si>
  <si>
    <t>傷寒纘論</t>
  </si>
  <si>
    <t>傷寒纘論_傷寒緒論</t>
  </si>
  <si>
    <t>傷寒緒論_1</t>
  </si>
  <si>
    <t>醫宗金鑑·訂正仲景全書傷寒論註</t>
  </si>
  <si>
    <t>傷寒經解</t>
  </si>
  <si>
    <t>傷寒論彙註精華</t>
  </si>
  <si>
    <t>傷寒論集成</t>
  </si>
  <si>
    <t>尚論篇</t>
  </si>
  <si>
    <t>尚論後篇</t>
  </si>
  <si>
    <t>傷寒論淺註補正</t>
  </si>
  <si>
    <t>傷寒論淺註補正_1</t>
  </si>
  <si>
    <t>傷寒之研究</t>
  </si>
  <si>
    <t>傷寒論讀</t>
  </si>
  <si>
    <t>增訂通俗傷寒論</t>
  </si>
  <si>
    <t>傷寒指掌</t>
  </si>
  <si>
    <t>傷寒附翼</t>
  </si>
  <si>
    <t>河間傷寒心要</t>
  </si>
  <si>
    <t>傷寒心要_1</t>
  </si>
  <si>
    <t>傷寒捷訣</t>
  </si>
  <si>
    <t>重訂通俗傷寒論</t>
  </si>
  <si>
    <t>劉河間傷寒醫鑑</t>
  </si>
  <si>
    <t>傷寒六書</t>
  </si>
  <si>
    <t>傷寒尋源</t>
  </si>
  <si>
    <t>傷寒明理論</t>
  </si>
  <si>
    <t>傷寒明理論_1</t>
  </si>
  <si>
    <t>傷寒括要</t>
  </si>
  <si>
    <t>傷寒法祖</t>
  </si>
  <si>
    <t>傷寒補例</t>
  </si>
  <si>
    <t>傷寒九十論</t>
  </si>
  <si>
    <t>傷寒論辯證廣註</t>
  </si>
  <si>
    <t>中寒論辯證廣註</t>
  </si>
  <si>
    <t>傷寒大白</t>
  </si>
  <si>
    <t>傷寒鈐法</t>
  </si>
  <si>
    <t>傷寒總病論</t>
  </si>
  <si>
    <t>傷寒總病論_1</t>
  </si>
  <si>
    <t>傷寒瘟疫條辨</t>
  </si>
  <si>
    <t>傷寒廣要</t>
  </si>
  <si>
    <t>傷寒論綱要</t>
  </si>
  <si>
    <t>傷寒論述義</t>
  </si>
  <si>
    <r>
      <t>傷寒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意</t>
    </r>
  </si>
  <si>
    <t>感症寶筏</t>
  </si>
  <si>
    <t>傷寒心鏡別集</t>
  </si>
  <si>
    <t>傷寒兼證析義</t>
  </si>
  <si>
    <t>傷寒辨要箋記</t>
  </si>
  <si>
    <t>皇漢醫學 ***</t>
  </si>
  <si>
    <t>傷寒恆論</t>
  </si>
  <si>
    <t>傷寒百證歌</t>
  </si>
  <si>
    <t>仲景傷寒補亡論</t>
  </si>
  <si>
    <t>傷寒發微論</t>
  </si>
  <si>
    <t>傷寒論類方</t>
  </si>
  <si>
    <t>傷寒論類方_1</t>
  </si>
  <si>
    <t>傷寒審證表</t>
  </si>
  <si>
    <t>傷寒醫訣串解</t>
  </si>
  <si>
    <t>醫宗金鑑·傷寒心法要訣</t>
  </si>
  <si>
    <t>傷寒解毒療法</t>
  </si>
  <si>
    <t>傷寒用藥研究</t>
  </si>
  <si>
    <t>傷寒論陽明病釋</t>
  </si>
  <si>
    <t>傷寒摘錦</t>
  </si>
  <si>
    <t>傷寒治例</t>
  </si>
  <si>
    <t>傷寒脈證式</t>
  </si>
  <si>
    <t>傷風約言</t>
  </si>
  <si>
    <t>傷寒直指</t>
  </si>
  <si>
    <t>傷寒類書活人總括</t>
  </si>
  <si>
    <t>類編傷寒活人書括指掌圖論</t>
  </si>
  <si>
    <t>傷寒論劉氏傳</t>
  </si>
  <si>
    <t>金匱</t>
  </si>
  <si>
    <t>金匱要略方論 ****</t>
  </si>
  <si>
    <t>金匱玉函經</t>
  </si>
  <si>
    <t>高註金匱要略</t>
  </si>
  <si>
    <t>金匱玉函要略輯義</t>
  </si>
  <si>
    <t>金匱玉函經二註</t>
  </si>
  <si>
    <t>金匱要略方論本義</t>
  </si>
  <si>
    <t>金匱玉函要略述義</t>
  </si>
  <si>
    <t>醫宗金鑑·訂正仲景全書金匱要略註</t>
  </si>
  <si>
    <t>金匱要略廣註</t>
  </si>
  <si>
    <t>金匱懸解</t>
  </si>
  <si>
    <t>金匱要略心典</t>
  </si>
  <si>
    <t>金匱要略淺註</t>
  </si>
  <si>
    <t>金匱要略淺註補正</t>
  </si>
  <si>
    <t>金匱要略論註</t>
  </si>
  <si>
    <t>曹氏傷寒金匱發微合刊</t>
  </si>
  <si>
    <t>溫熱論 ****</t>
  </si>
  <si>
    <t>時病論</t>
  </si>
  <si>
    <t>時病論_1</t>
  </si>
  <si>
    <t>溫熱逢源</t>
  </si>
  <si>
    <t>溫熱逢源_1</t>
  </si>
  <si>
    <t>溫疫論</t>
  </si>
  <si>
    <t>溫疫論_1</t>
  </si>
  <si>
    <t>增訂葉評傷暑全書</t>
  </si>
  <si>
    <t>重訂廣溫熱論</t>
  </si>
  <si>
    <t>溫病指南</t>
  </si>
  <si>
    <t>溫熱經緯</t>
  </si>
  <si>
    <t>三時伏氣外感篇_1</t>
  </si>
  <si>
    <t>外感溫病篇_1</t>
  </si>
  <si>
    <t>濕熱病篇_1</t>
  </si>
  <si>
    <t>溫病條辨</t>
  </si>
  <si>
    <t>溫病條辨_1</t>
  </si>
  <si>
    <t>溫病條辨_條列版</t>
  </si>
  <si>
    <t>溫病正宗</t>
  </si>
  <si>
    <t>重訂溫熱經解</t>
  </si>
  <si>
    <t>醫寄伏陰論</t>
  </si>
  <si>
    <t>薛氏濕熱論歌訣</t>
  </si>
  <si>
    <t>溫熱論箋正</t>
  </si>
  <si>
    <t>六因條辨</t>
  </si>
  <si>
    <t>六氣感證要義</t>
  </si>
  <si>
    <t>溫病辨症</t>
  </si>
  <si>
    <t>濕熱條辨</t>
  </si>
  <si>
    <t>中西溫熱串解</t>
  </si>
  <si>
    <t>溫疫論私評</t>
  </si>
  <si>
    <t>廣瘟疫論</t>
  </si>
  <si>
    <t>廣瘟疫論_1</t>
  </si>
  <si>
    <r>
      <t>吳</t>
    </r>
    <r>
      <rPr>
        <sz val="11"/>
        <color theme="1"/>
        <rFont val="游ゴシック"/>
        <family val="2"/>
        <charset val="128"/>
        <scheme val="minor"/>
      </rPr>
      <t>又可溫疫論歌括</t>
    </r>
  </si>
  <si>
    <t>溫病之研究</t>
  </si>
  <si>
    <t>仿寓意草</t>
  </si>
  <si>
    <t>伏瘟證治實驗談</t>
  </si>
  <si>
    <t>伏邪新書</t>
  </si>
  <si>
    <t>南病別鑑</t>
  </si>
  <si>
    <t>溫證指歸</t>
  </si>
  <si>
    <t>疫疹一得</t>
  </si>
  <si>
    <t>溫熱暑疫全書</t>
  </si>
  <si>
    <t>溫疫明辨歌訣</t>
  </si>
  <si>
    <t>濕溫時疫治療法</t>
  </si>
  <si>
    <t>辨疫瑣言</t>
  </si>
  <si>
    <t>鄒氏寒疫論</t>
  </si>
  <si>
    <t>痧脹玉衡</t>
  </si>
  <si>
    <t>瘴瘧指南</t>
  </si>
  <si>
    <r>
      <t>松峰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疫</t>
    </r>
  </si>
  <si>
    <t>隨息居重訂霍亂論</t>
  </si>
  <si>
    <t>鼠疫約編</t>
  </si>
  <si>
    <r>
      <t>霍亂燃犀</t>
    </r>
    <r>
      <rPr>
        <sz val="11"/>
        <color theme="1"/>
        <rFont val="游ゴシック"/>
        <family val="3"/>
        <charset val="129"/>
        <scheme val="minor"/>
      </rPr>
      <t>說</t>
    </r>
  </si>
  <si>
    <t>治痢南針</t>
  </si>
  <si>
    <t>痙病與腦膜炎全書</t>
  </si>
  <si>
    <t>瀉疫新論</t>
  </si>
  <si>
    <t>痘科辨要</t>
  </si>
  <si>
    <t>暑症發原</t>
  </si>
  <si>
    <t>治痢捷要新書</t>
  </si>
  <si>
    <t>秋瘧指南</t>
  </si>
  <si>
    <t>羊毛瘟證論</t>
  </si>
  <si>
    <t>輔行訣臟腑用藥法要</t>
  </si>
  <si>
    <t>活法機要</t>
  </si>
  <si>
    <t>金匱翼</t>
  </si>
  <si>
    <t>醫宗金鑑·雜病心法要訣</t>
  </si>
  <si>
    <r>
      <t>醫</t>
    </r>
    <r>
      <rPr>
        <sz val="11"/>
        <color theme="1"/>
        <rFont val="游ゴシック"/>
        <family val="3"/>
        <charset val="136"/>
        <scheme val="minor"/>
      </rPr>
      <t>碥</t>
    </r>
  </si>
  <si>
    <t>醫學正傳</t>
  </si>
  <si>
    <t>雜症會心錄</t>
  </si>
  <si>
    <t>雜病廣要</t>
  </si>
  <si>
    <r>
      <t>內</t>
    </r>
    <r>
      <rPr>
        <sz val="11"/>
        <color theme="1"/>
        <rFont val="游ゴシック"/>
        <family val="2"/>
        <charset val="128"/>
        <scheme val="minor"/>
      </rPr>
      <t>外傷辨惑論</t>
    </r>
  </si>
  <si>
    <r>
      <t>內</t>
    </r>
    <r>
      <rPr>
        <sz val="11"/>
        <color theme="1"/>
        <rFont val="游ゴシック"/>
        <family val="2"/>
        <charset val="128"/>
        <scheme val="minor"/>
      </rPr>
      <t>外傷辨惑論_1</t>
    </r>
  </si>
  <si>
    <r>
      <t>內</t>
    </r>
    <r>
      <rPr>
        <sz val="11"/>
        <color theme="1"/>
        <rFont val="游ゴシック"/>
        <family val="2"/>
        <charset val="128"/>
        <scheme val="minor"/>
      </rPr>
      <t>科摘要</t>
    </r>
  </si>
  <si>
    <t>證治準繩·雜病</t>
  </si>
  <si>
    <t>血證論</t>
  </si>
  <si>
    <t>血證論_1</t>
  </si>
  <si>
    <t>醫學傳燈</t>
  </si>
  <si>
    <t>重訂靈蘭要覽</t>
  </si>
  <si>
    <t>脾胃論</t>
  </si>
  <si>
    <t>脾胃論_1</t>
  </si>
  <si>
    <t>辨症玉函</t>
  </si>
  <si>
    <t>醫學妙諦</t>
  </si>
  <si>
    <t>醫略十三篇</t>
  </si>
  <si>
    <r>
      <t>通俗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科學</t>
    </r>
  </si>
  <si>
    <t>大方脈</t>
  </si>
  <si>
    <t>雜病治例</t>
  </si>
  <si>
    <t>醫效秘傳</t>
  </si>
  <si>
    <t>病機沙篆</t>
  </si>
  <si>
    <t>濟陽綱目</t>
  </si>
  <si>
    <t>醫學從眾錄</t>
  </si>
  <si>
    <t>證治摘要</t>
  </si>
  <si>
    <r>
      <t>中國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科醫鑑</t>
    </r>
  </si>
  <si>
    <t>不居集</t>
  </si>
  <si>
    <t>醫學碎金</t>
  </si>
  <si>
    <t>醫學答問</t>
  </si>
  <si>
    <t>醫學要數</t>
  </si>
  <si>
    <t>文十六卷</t>
  </si>
  <si>
    <t>評琴書屋醫略</t>
  </si>
  <si>
    <t>傅氏男科</t>
  </si>
  <si>
    <t>中風論</t>
  </si>
  <si>
    <t>何氏虛勞心傳</t>
  </si>
  <si>
    <t>慎柔五書</t>
  </si>
  <si>
    <r>
      <t>風勞</t>
    </r>
    <r>
      <rPr>
        <sz val="11"/>
        <color theme="1"/>
        <rFont val="游ゴシック"/>
        <family val="3"/>
        <charset val="136"/>
        <scheme val="minor"/>
      </rPr>
      <t>臌</t>
    </r>
    <r>
      <rPr>
        <sz val="11"/>
        <color theme="1"/>
        <rFont val="游ゴシック"/>
        <family val="2"/>
        <charset val="128"/>
        <scheme val="minor"/>
      </rPr>
      <t>膈四大證治</t>
    </r>
  </si>
  <si>
    <r>
      <t>虛損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微</t>
    </r>
  </si>
  <si>
    <t>痰火點雪</t>
  </si>
  <si>
    <t>增訂十藥神書</t>
  </si>
  <si>
    <t>理虛元鑑</t>
  </si>
  <si>
    <t>祕傳大麻瘋方</t>
  </si>
  <si>
    <t>葛可久十藥神書歌訣</t>
  </si>
  <si>
    <t>陰證略例</t>
  </si>
  <si>
    <r>
      <t>腳</t>
    </r>
    <r>
      <rPr>
        <sz val="11"/>
        <color theme="1"/>
        <rFont val="游ゴシック"/>
        <family val="2"/>
        <charset val="128"/>
        <scheme val="minor"/>
      </rPr>
      <t>氣治法總要</t>
    </r>
  </si>
  <si>
    <t>三消論</t>
  </si>
  <si>
    <t>癲狂條辨</t>
  </si>
  <si>
    <t>治瘧機要</t>
  </si>
  <si>
    <t>瘧利成法</t>
  </si>
  <si>
    <r>
      <t>內</t>
    </r>
    <r>
      <rPr>
        <sz val="11"/>
        <color theme="1"/>
        <rFont val="游ゴシック"/>
        <family val="2"/>
        <charset val="128"/>
        <scheme val="minor"/>
      </rPr>
      <t>傷集要</t>
    </r>
  </si>
  <si>
    <t>證治準繩·傷寒</t>
  </si>
  <si>
    <t>痢疾明辨</t>
  </si>
  <si>
    <r>
      <t>腳</t>
    </r>
    <r>
      <rPr>
        <sz val="11"/>
        <color theme="1"/>
        <rFont val="游ゴシック"/>
        <family val="2"/>
        <charset val="128"/>
        <scheme val="minor"/>
      </rPr>
      <t>氣概論</t>
    </r>
  </si>
  <si>
    <r>
      <t>腳</t>
    </r>
    <r>
      <rPr>
        <sz val="11"/>
        <color theme="1"/>
        <rFont val="游ゴシック"/>
        <family val="2"/>
        <charset val="128"/>
        <scheme val="minor"/>
      </rPr>
      <t>氣鉤要</t>
    </r>
  </si>
  <si>
    <t>痢症三字訣</t>
  </si>
  <si>
    <t>痎瘧論疏</t>
  </si>
  <si>
    <t>失眠症之療法</t>
  </si>
  <si>
    <t>傅青主女科</t>
  </si>
  <si>
    <t>傅青主女科_條列版</t>
  </si>
  <si>
    <t>張氏婦科</t>
  </si>
  <si>
    <t>婦科問答</t>
  </si>
  <si>
    <t>婦科秘方</t>
  </si>
  <si>
    <t>濟陰綱目</t>
  </si>
  <si>
    <t>濟陰綱目_1</t>
  </si>
  <si>
    <t>醫宗金鑑·婦科心法要訣</t>
  </si>
  <si>
    <t>女科要旨</t>
  </si>
  <si>
    <t>女科撮要</t>
  </si>
  <si>
    <t>沈氏女科輯要</t>
  </si>
  <si>
    <t>家傳女科經驗摘奇</t>
  </si>
  <si>
    <t>婦科秘書</t>
  </si>
  <si>
    <t>寧坤秘笈</t>
  </si>
  <si>
    <t>濟生集</t>
  </si>
  <si>
    <r>
      <t>內</t>
    </r>
    <r>
      <rPr>
        <sz val="11"/>
        <color theme="1"/>
        <rFont val="游ゴシック"/>
        <family val="2"/>
        <charset val="128"/>
        <scheme val="minor"/>
      </rPr>
      <t>府秘傳經驗女科</t>
    </r>
  </si>
  <si>
    <t>女科指要</t>
  </si>
  <si>
    <t>女科切要</t>
  </si>
  <si>
    <t>女科切要_1</t>
  </si>
  <si>
    <t>女科精要</t>
  </si>
  <si>
    <t>竹泉生女科集要</t>
  </si>
  <si>
    <t>女科秘要</t>
  </si>
  <si>
    <t>傅青主女科歌括</t>
  </si>
  <si>
    <t>女科秘旨</t>
  </si>
  <si>
    <t>婦科玉尺</t>
  </si>
  <si>
    <t>女科折衷纂要</t>
  </si>
  <si>
    <t>邯鄲遺稿</t>
  </si>
  <si>
    <t>竹林女科證治</t>
  </si>
  <si>
    <t>女科指掌</t>
  </si>
  <si>
    <t>婦人規</t>
  </si>
  <si>
    <t>女科經綸</t>
  </si>
  <si>
    <t>女科經綸_1</t>
  </si>
  <si>
    <t>證治準繩·女科</t>
  </si>
  <si>
    <t>女科百問</t>
  </si>
  <si>
    <t>女科百問_1</t>
  </si>
  <si>
    <t>女科旨要</t>
  </si>
  <si>
    <t>薛氏濟陰萬金書</t>
  </si>
  <si>
    <t>婦科百辨</t>
  </si>
  <si>
    <t>秘珍濟陰</t>
  </si>
  <si>
    <t>女丹合編選註</t>
  </si>
  <si>
    <t>彤園醫書·婦人科</t>
  </si>
  <si>
    <r>
      <t>金匱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鑰·婦科</t>
    </r>
  </si>
  <si>
    <t>校註婦人良方</t>
  </si>
  <si>
    <t>萬氏女科</t>
  </si>
  <si>
    <t>沈氏女科輯要箋疏</t>
  </si>
  <si>
    <t>傅氏女科</t>
  </si>
  <si>
    <t>女科仙方</t>
  </si>
  <si>
    <t>婦科冰鑑</t>
  </si>
  <si>
    <t>鄭氏家傳女科萬金方</t>
  </si>
  <si>
    <t>竹林寺女科秘方</t>
  </si>
  <si>
    <t>程門雪遺稿</t>
  </si>
  <si>
    <r>
      <t>經效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寶</t>
    </r>
  </si>
  <si>
    <r>
      <t>盤珠集胎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症治</t>
    </r>
  </si>
  <si>
    <r>
      <t>盤珠集胎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症治_1</t>
    </r>
  </si>
  <si>
    <r>
      <t>產</t>
    </r>
    <r>
      <rPr>
        <sz val="11"/>
        <color theme="1"/>
        <rFont val="游ゴシック"/>
        <family val="2"/>
        <charset val="128"/>
        <scheme val="minor"/>
      </rPr>
      <t>鑑</t>
    </r>
  </si>
  <si>
    <r>
      <t>產</t>
    </r>
    <r>
      <rPr>
        <sz val="11"/>
        <color theme="1"/>
        <rFont val="游ゴシック"/>
        <family val="2"/>
        <charset val="128"/>
        <scheme val="minor"/>
      </rPr>
      <t>後十八論</t>
    </r>
  </si>
  <si>
    <r>
      <t>錢氏秘傳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科方書名試驗錄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</si>
  <si>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指南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</si>
  <si>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指南_1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</si>
  <si>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秘書</t>
    </r>
  </si>
  <si>
    <t>達生編</t>
  </si>
  <si>
    <r>
      <t>衛生家寶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科備要</t>
    </r>
  </si>
  <si>
    <r>
      <t>產</t>
    </r>
    <r>
      <rPr>
        <sz val="11"/>
        <color theme="1"/>
        <rFont val="游ゴシック"/>
        <family val="2"/>
        <charset val="128"/>
        <scheme val="minor"/>
      </rPr>
      <t>寶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</si>
  <si>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心法</t>
    </r>
  </si>
  <si>
    <r>
      <t>產</t>
    </r>
    <r>
      <rPr>
        <sz val="11"/>
        <color theme="1"/>
        <rFont val="游ゴシック"/>
        <family val="2"/>
        <charset val="128"/>
        <scheme val="minor"/>
      </rPr>
      <t>孕集</t>
    </r>
  </si>
  <si>
    <r>
      <t>重訂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孕集</t>
    </r>
  </si>
  <si>
    <t>生生寶錄</t>
  </si>
  <si>
    <r>
      <t>產</t>
    </r>
    <r>
      <rPr>
        <sz val="11"/>
        <color theme="1"/>
        <rFont val="游ゴシック"/>
        <family val="2"/>
        <charset val="128"/>
        <scheme val="minor"/>
      </rPr>
      <t>論</t>
    </r>
  </si>
  <si>
    <r>
      <t>胤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全書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</si>
  <si>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證治</t>
    </r>
  </si>
  <si>
    <r>
      <t>產</t>
    </r>
    <r>
      <rPr>
        <sz val="11"/>
        <color theme="1"/>
        <rFont val="游ゴシック"/>
        <family val="2"/>
        <charset val="128"/>
        <scheme val="minor"/>
      </rPr>
      <t>科發蒙</t>
    </r>
  </si>
  <si>
    <r>
      <t>產</t>
    </r>
    <r>
      <rPr>
        <sz val="11"/>
        <color theme="1"/>
        <rFont val="游ゴシック"/>
        <family val="2"/>
        <charset val="128"/>
        <scheme val="minor"/>
      </rPr>
      <t>論翼</t>
    </r>
  </si>
  <si>
    <r>
      <t>高淑濂胎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方案</t>
    </r>
  </si>
  <si>
    <r>
      <t>濟生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寶</t>
    </r>
  </si>
  <si>
    <r>
      <t>評註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科心法</t>
    </r>
  </si>
  <si>
    <t>毓麟驗方</t>
  </si>
  <si>
    <t>廣嗣要語</t>
  </si>
  <si>
    <t>宜麟策</t>
  </si>
  <si>
    <t>孕育玄機</t>
  </si>
  <si>
    <t>廣嗣紀要</t>
  </si>
  <si>
    <t>續增大生要旨</t>
  </si>
  <si>
    <r>
      <t>產</t>
    </r>
    <r>
      <rPr>
        <sz val="11"/>
        <color theme="1"/>
        <rFont val="游ゴシック"/>
        <family val="2"/>
        <charset val="128"/>
        <scheme val="minor"/>
      </rPr>
      <t>育寶慶方</t>
    </r>
  </si>
  <si>
    <r>
      <t>產</t>
    </r>
    <r>
      <rPr>
        <sz val="11"/>
        <color theme="1"/>
        <rFont val="游ゴシック"/>
        <family val="2"/>
        <charset val="128"/>
        <scheme val="minor"/>
      </rPr>
      <t>寶諸方</t>
    </r>
  </si>
  <si>
    <r>
      <t>胎</t>
    </r>
    <r>
      <rPr>
        <sz val="11"/>
        <color theme="1"/>
        <rFont val="游ゴシック"/>
        <family val="3"/>
        <charset val="136"/>
        <scheme val="minor"/>
      </rPr>
      <t>產</t>
    </r>
    <r>
      <rPr>
        <sz val="11"/>
        <color theme="1"/>
        <rFont val="游ゴシック"/>
        <family val="2"/>
        <charset val="128"/>
        <scheme val="minor"/>
      </rPr>
      <t>新書</t>
    </r>
  </si>
  <si>
    <t>幼科發揮</t>
  </si>
  <si>
    <t>兒科要略</t>
  </si>
  <si>
    <t>幼科概論</t>
  </si>
  <si>
    <t>幼科釋謎</t>
  </si>
  <si>
    <t>保幼新編</t>
  </si>
  <si>
    <t>嬰童百問</t>
  </si>
  <si>
    <t>活幼心書</t>
  </si>
  <si>
    <t>兒科醒</t>
  </si>
  <si>
    <t>嬰兒論</t>
  </si>
  <si>
    <t>幼幼新書</t>
  </si>
  <si>
    <t>幼科鐵鏡</t>
  </si>
  <si>
    <t>兒科萃精</t>
  </si>
  <si>
    <t>幼幼集成</t>
  </si>
  <si>
    <t>幼科類萃</t>
  </si>
  <si>
    <t>保嬰撮要</t>
  </si>
  <si>
    <t>幼科指南</t>
  </si>
  <si>
    <t>小兒衛生總微論方</t>
  </si>
  <si>
    <t>幼科折衷</t>
  </si>
  <si>
    <r>
      <t>鬻嬰提要</t>
    </r>
    <r>
      <rPr>
        <sz val="11"/>
        <color theme="1"/>
        <rFont val="游ゴシック"/>
        <family val="3"/>
        <charset val="129"/>
        <scheme val="minor"/>
      </rPr>
      <t>說</t>
    </r>
  </si>
  <si>
    <t>小兒藥證直訣</t>
  </si>
  <si>
    <t>小兒藥證直訣_1</t>
  </si>
  <si>
    <t>錢氏小兒直訣</t>
  </si>
  <si>
    <t>慈幼新書</t>
  </si>
  <si>
    <t>顱顖經</t>
  </si>
  <si>
    <t>活幼口議</t>
  </si>
  <si>
    <t>幼科切要</t>
  </si>
  <si>
    <t>嬰童類萃</t>
  </si>
  <si>
    <t>慈幼便覽</t>
  </si>
  <si>
    <t>陳氏幼科秘訣</t>
  </si>
  <si>
    <t>醫宗金鑑·幼科心法要訣</t>
  </si>
  <si>
    <t>保嬰金鏡錄</t>
  </si>
  <si>
    <t>原幼心法</t>
  </si>
  <si>
    <t>小兒諸證補遺</t>
  </si>
  <si>
    <t>大醫馬氏小兒脈珍科</t>
  </si>
  <si>
    <t>幼科折衷秘傳真本</t>
  </si>
  <si>
    <t>誠求集</t>
  </si>
  <si>
    <t>幼科彙訣直解</t>
  </si>
  <si>
    <t>證治準繩·幼科</t>
  </si>
  <si>
    <t>彤園醫書·小兒科</t>
  </si>
  <si>
    <r>
      <t>金匱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鑰·幼科</t>
    </r>
  </si>
  <si>
    <t>幼幼集</t>
  </si>
  <si>
    <t>幼科證治大全</t>
  </si>
  <si>
    <t>中國兒科醫鑑</t>
  </si>
  <si>
    <t>育嬰家秘</t>
  </si>
  <si>
    <t>萬氏秘傳片玉心書</t>
  </si>
  <si>
    <t>傅氏兒科</t>
  </si>
  <si>
    <t>麻疹闡註</t>
  </si>
  <si>
    <t>麻科活人全書</t>
  </si>
  <si>
    <t>醫宗金鑑·痘疹心法要訣</t>
  </si>
  <si>
    <t>痧疹輯要</t>
  </si>
  <si>
    <t>原瘄要論</t>
  </si>
  <si>
    <t>專治麻痧初編</t>
  </si>
  <si>
    <t>經驗麻科</t>
  </si>
  <si>
    <t>小兒痘疹方論</t>
  </si>
  <si>
    <t>麻疹備要方論</t>
  </si>
  <si>
    <t>醫宗金鑑·幼科種痘心法要旨</t>
  </si>
  <si>
    <t>陳氏小兒痘疹方論</t>
  </si>
  <si>
    <t>新訂痘疹濟世真詮</t>
  </si>
  <si>
    <t>麻疹專論</t>
  </si>
  <si>
    <t>痘疹精詳</t>
  </si>
  <si>
    <t>痘科輯要</t>
  </si>
  <si>
    <t>幼科驚搐門</t>
  </si>
  <si>
    <t>疹科類編</t>
  </si>
  <si>
    <t>痘治理辨</t>
  </si>
  <si>
    <t>痘疹生民切要</t>
  </si>
  <si>
    <t>片玉痘疹</t>
  </si>
  <si>
    <t>痘疹心法</t>
  </si>
  <si>
    <t>小兒推拿廣意</t>
  </si>
  <si>
    <t>幼科推拿秘書</t>
  </si>
  <si>
    <t>小兒推拿方脈活嬰秘旨全書</t>
  </si>
  <si>
    <t>少小嬰孺方</t>
  </si>
  <si>
    <t>仁端錄</t>
  </si>
  <si>
    <t>保赤新書</t>
  </si>
  <si>
    <t>外科</t>
  </si>
  <si>
    <t>外科證治全書</t>
  </si>
  <si>
    <t>外科十法</t>
  </si>
  <si>
    <t>衛濟寶書</t>
  </si>
  <si>
    <t>仙傳外科集驗方</t>
  </si>
  <si>
    <t>外科精義</t>
  </si>
  <si>
    <t>外科集驗方</t>
  </si>
  <si>
    <t>秘傳外科方</t>
  </si>
  <si>
    <t>外科傳薪集</t>
  </si>
  <si>
    <t>醫宗金鑑·外科心法要訣</t>
  </si>
  <si>
    <t>外科醫鏡</t>
  </si>
  <si>
    <t>外科大成</t>
  </si>
  <si>
    <t>外科大成_1</t>
  </si>
  <si>
    <t>外科精要</t>
  </si>
  <si>
    <t>瘍醫大全</t>
  </si>
  <si>
    <t>外科正宗</t>
  </si>
  <si>
    <t>外科正宗_1</t>
  </si>
  <si>
    <t>外科選要</t>
  </si>
  <si>
    <t>外科方外奇方</t>
  </si>
  <si>
    <t>外科全生集</t>
  </si>
  <si>
    <t>外科十三方考</t>
  </si>
  <si>
    <t>青囊秘訣</t>
  </si>
  <si>
    <t>萬氏秘傳外科心法</t>
  </si>
  <si>
    <r>
      <t>外科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玄</t>
    </r>
  </si>
  <si>
    <t>外科樞要</t>
  </si>
  <si>
    <t>外科證治秘要</t>
  </si>
  <si>
    <t>外科心法</t>
  </si>
  <si>
    <t>青囊全集秘旨</t>
  </si>
  <si>
    <t>外科備要</t>
  </si>
  <si>
    <t>證治準繩·瘍醫</t>
  </si>
  <si>
    <t>彤園醫書·外科</t>
  </si>
  <si>
    <t>洞天奧旨</t>
  </si>
  <si>
    <t>外科學話義</t>
  </si>
  <si>
    <t>傅氏外科</t>
  </si>
  <si>
    <t>新刻圖形枕藏外科</t>
  </si>
  <si>
    <t>痰癧法門</t>
  </si>
  <si>
    <t>瘍科綱要</t>
  </si>
  <si>
    <t>解圍元藪</t>
  </si>
  <si>
    <t>瘍科捷徑</t>
  </si>
  <si>
    <t>集驗背疽方</t>
  </si>
  <si>
    <t>癘瘍機要</t>
  </si>
  <si>
    <t>立齋外科發揮</t>
  </si>
  <si>
    <t>劉涓子鬼遺方</t>
  </si>
  <si>
    <t>鬼遺方_1</t>
  </si>
  <si>
    <t>瘋門全書</t>
  </si>
  <si>
    <t>瘍科心得集</t>
  </si>
  <si>
    <t>發背對口治訣論</t>
  </si>
  <si>
    <t>癧科全書</t>
  </si>
  <si>
    <t>外科理例</t>
  </si>
  <si>
    <t>癰疽神秘驗方</t>
  </si>
  <si>
    <t>鄒氏純懿㿖集·瘡瘍</t>
  </si>
  <si>
    <t>黴癘新書</t>
  </si>
  <si>
    <t>疝氣證治論</t>
  </si>
  <si>
    <t>疝症積聚</t>
  </si>
  <si>
    <t>傷科</t>
  </si>
  <si>
    <t>秘傳劉伯溫家藏接骨金瘡禁方</t>
  </si>
  <si>
    <t>接骨手法</t>
  </si>
  <si>
    <t>金瘡秘傳禁方</t>
  </si>
  <si>
    <t>跌打秘方</t>
  </si>
  <si>
    <t>傷科大成</t>
  </si>
  <si>
    <t>傷科大成_條列版</t>
  </si>
  <si>
    <t>江氏傷科學</t>
  </si>
  <si>
    <t>少林真傳傷科秘方</t>
  </si>
  <si>
    <t>金瘡跌打接骨藥性秘書</t>
  </si>
  <si>
    <t>跌損妙方</t>
  </si>
  <si>
    <t>傷科彙纂</t>
  </si>
  <si>
    <t>跌打損傷方</t>
  </si>
  <si>
    <t>傷科補要</t>
  </si>
  <si>
    <t>救傷秘旨</t>
  </si>
  <si>
    <t>醫宗金鑑·正骨心法要旨</t>
  </si>
  <si>
    <t>跌打損傷回生集</t>
  </si>
  <si>
    <t>傷科方書</t>
  </si>
  <si>
    <t>正體類要</t>
  </si>
  <si>
    <r>
      <t>中國接骨圖</t>
    </r>
    <r>
      <rPr>
        <sz val="11"/>
        <color theme="1"/>
        <rFont val="游ゴシック"/>
        <family val="3"/>
        <charset val="129"/>
        <scheme val="minor"/>
      </rPr>
      <t>說</t>
    </r>
  </si>
  <si>
    <t>五官科</t>
  </si>
  <si>
    <t>眼科</t>
  </si>
  <si>
    <r>
      <t>原機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微</t>
    </r>
  </si>
  <si>
    <t>明目至寶</t>
  </si>
  <si>
    <t>秘傳眼科龍木論</t>
  </si>
  <si>
    <t>眼科秘訣</t>
  </si>
  <si>
    <t>眼科錦囊</t>
  </si>
  <si>
    <t>目經大成</t>
  </si>
  <si>
    <t>醫宗金鑑·眼科心法要訣</t>
  </si>
  <si>
    <t>眼科闡微</t>
  </si>
  <si>
    <t>一草亭目科全書</t>
  </si>
  <si>
    <t>審視瑤函</t>
  </si>
  <si>
    <t>審視瑤函_1</t>
  </si>
  <si>
    <t>銀海精微</t>
  </si>
  <si>
    <t>銀海指南</t>
  </si>
  <si>
    <t>異授眼科</t>
  </si>
  <si>
    <r>
      <t>金匱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鑰·眼科</t>
    </r>
  </si>
  <si>
    <t>明目良方</t>
  </si>
  <si>
    <t>新刊明目良方</t>
  </si>
  <si>
    <t>喉科</t>
  </si>
  <si>
    <t>重樓玉鑰</t>
  </si>
  <si>
    <t>重樓玉鑰續編</t>
  </si>
  <si>
    <t>喉科秘訣</t>
  </si>
  <si>
    <t>白喉條辨</t>
  </si>
  <si>
    <t>尤氏喉症指南</t>
  </si>
  <si>
    <t>尤氏喉科秘書</t>
  </si>
  <si>
    <t>焦氏喉科枕秘</t>
  </si>
  <si>
    <t>喉科指掌</t>
  </si>
  <si>
    <t>包氏喉證家寶</t>
  </si>
  <si>
    <t>咽喉秘集</t>
  </si>
  <si>
    <t>白喉全生集</t>
  </si>
  <si>
    <t>喉科集腋</t>
  </si>
  <si>
    <t>咽喉脈證通論</t>
  </si>
  <si>
    <t>重訂囊秘喉書</t>
  </si>
  <si>
    <t>白喉捷要合編</t>
  </si>
  <si>
    <t>白喉辨證</t>
  </si>
  <si>
    <t>喉科大成</t>
  </si>
  <si>
    <t>喉科金鑰全書</t>
  </si>
  <si>
    <t>集喉症諸方</t>
  </si>
  <si>
    <t>喉科心法</t>
  </si>
  <si>
    <t>咳論經旨</t>
  </si>
  <si>
    <t>喉科家訓</t>
  </si>
  <si>
    <t>口齒類要</t>
  </si>
  <si>
    <t>走馬急疳真方</t>
  </si>
  <si>
    <t>喉舌備要秘旨</t>
  </si>
  <si>
    <t>祝由科</t>
  </si>
  <si>
    <t>祝由科諸符祕</t>
  </si>
  <si>
    <t>資福等齊天醫十三科治病一宗</t>
  </si>
  <si>
    <t>養生類</t>
  </si>
  <si>
    <t>養老奉親書</t>
  </si>
  <si>
    <t>壽世傳真</t>
  </si>
  <si>
    <t>修崑崙證驗</t>
  </si>
  <si>
    <t>養生類要</t>
  </si>
  <si>
    <t>養生秘旨</t>
  </si>
  <si>
    <t>壽世青編</t>
  </si>
  <si>
    <t>性命要旨</t>
  </si>
  <si>
    <t>奉時旨要</t>
  </si>
  <si>
    <t>厚生訓纂</t>
  </si>
  <si>
    <t>錦身機要</t>
  </si>
  <si>
    <t>類修要訣</t>
  </si>
  <si>
    <t>三元參贊延壽書</t>
  </si>
  <si>
    <t>山居四要</t>
  </si>
  <si>
    <t>攝生集覽</t>
  </si>
  <si>
    <t>攝生要義</t>
  </si>
  <si>
    <t>壽親養老書</t>
  </si>
  <si>
    <t>壽世編</t>
  </si>
  <si>
    <t>太素脈訣秘書</t>
  </si>
  <si>
    <t>太素心要</t>
  </si>
  <si>
    <t>香奩潤色</t>
  </si>
  <si>
    <t>心印紺珠經</t>
  </si>
  <si>
    <t>養生類纂</t>
  </si>
  <si>
    <t>修真秘要</t>
  </si>
  <si>
    <t>養生月覽</t>
  </si>
  <si>
    <t>養生四要</t>
  </si>
  <si>
    <t>保命歌括</t>
  </si>
  <si>
    <t>醫學權輿</t>
  </si>
  <si>
    <t>軒轅黃帝治病秘法</t>
  </si>
  <si>
    <t>攝養枕中方</t>
  </si>
  <si>
    <t>福壽丹書</t>
  </si>
  <si>
    <t>壽親養老新書</t>
  </si>
  <si>
    <t>安老懷幼書</t>
  </si>
  <si>
    <t>巢氏病源補養宣導法</t>
  </si>
  <si>
    <t>養生導引秘籍</t>
  </si>
  <si>
    <t>動功按摩秘訣</t>
  </si>
  <si>
    <t>養生導引法</t>
  </si>
  <si>
    <t>達摩洗髓易筋經</t>
  </si>
  <si>
    <t>千金食治</t>
  </si>
  <si>
    <t>食療方</t>
  </si>
  <si>
    <t>飲膳正要</t>
  </si>
  <si>
    <t>保生心鑑</t>
  </si>
  <si>
    <t>養生食忌</t>
  </si>
  <si>
    <t>隨息居飲食譜</t>
  </si>
  <si>
    <t>飲食須知</t>
  </si>
  <si>
    <t>調疾飲食辨</t>
  </si>
  <si>
    <t>食物輯要</t>
  </si>
  <si>
    <t>外治法</t>
  </si>
  <si>
    <t>急救廣生集</t>
  </si>
  <si>
    <t>理瀹駢文</t>
  </si>
  <si>
    <t>理瀹駢文_1</t>
  </si>
  <si>
    <t>北山醫案</t>
  </si>
  <si>
    <t>先哲醫話</t>
  </si>
  <si>
    <r>
      <t>吳</t>
    </r>
    <r>
      <rPr>
        <sz val="11"/>
        <color theme="1"/>
        <rFont val="游ゴシック"/>
        <family val="2"/>
        <charset val="128"/>
        <scheme val="minor"/>
      </rPr>
      <t>鞠通醫案</t>
    </r>
  </si>
  <si>
    <r>
      <t>吳</t>
    </r>
    <r>
      <rPr>
        <sz val="11"/>
        <color theme="1"/>
        <rFont val="游ゴシック"/>
        <family val="2"/>
        <charset val="128"/>
        <scheme val="minor"/>
      </rPr>
      <t>鞠通醫案_1</t>
    </r>
  </si>
  <si>
    <t>邵蘭蓀醫案</t>
  </si>
  <si>
    <t>何澹安醫案</t>
  </si>
  <si>
    <t>張聿青醫案</t>
  </si>
  <si>
    <t>叢桂草堂醫案</t>
  </si>
  <si>
    <t>奇症彙</t>
  </si>
  <si>
    <t>未刻本葉氏醫案</t>
  </si>
  <si>
    <t>臨證指南醫案</t>
  </si>
  <si>
    <t>臨證指南醫案_1</t>
  </si>
  <si>
    <t>王旭高臨證醫案</t>
  </si>
  <si>
    <t>寓意草</t>
  </si>
  <si>
    <t>徐批葉天士晚年方案真本</t>
  </si>
  <si>
    <t>許氏醫案 ****</t>
  </si>
  <si>
    <t>許氏醫案_1</t>
  </si>
  <si>
    <t>馬培之醫案</t>
  </si>
  <si>
    <t>孫文垣醫案</t>
  </si>
  <si>
    <t>續名醫類案</t>
  </si>
  <si>
    <t>續名醫類案（四庫本）</t>
  </si>
  <si>
    <t>程杏軒醫案</t>
  </si>
  <si>
    <t>三家醫案合刻</t>
  </si>
  <si>
    <t>柳選四家醫案</t>
  </si>
  <si>
    <t>增補評注柳選醫案</t>
  </si>
  <si>
    <t>眉壽堂方案選存</t>
  </si>
  <si>
    <t>丁甘仁醫案</t>
  </si>
  <si>
    <t>曹仁伯醫案論</t>
  </si>
  <si>
    <t>張畹香醫案</t>
  </si>
  <si>
    <t>葉天士醫案精華</t>
  </si>
  <si>
    <t>也是山人醫案</t>
  </si>
  <si>
    <t>花韻樓醫案</t>
  </si>
  <si>
    <t>診餘舉隅錄</t>
  </si>
  <si>
    <t>醫權初編</t>
  </si>
  <si>
    <t>素圃醫案</t>
  </si>
  <si>
    <t>沈氏醫案</t>
  </si>
  <si>
    <t>邵氏醫案</t>
  </si>
  <si>
    <t>掃葉莊醫案</t>
  </si>
  <si>
    <t>青霞醫案</t>
  </si>
  <si>
    <t>龍砂八家醫案</t>
  </si>
  <si>
    <t>黃澹翁醫案</t>
  </si>
  <si>
    <t>環溪草堂醫案</t>
  </si>
  <si>
    <t>得心集醫案</t>
  </si>
  <si>
    <t>鄒亦仲醫案新編</t>
  </si>
  <si>
    <t>陳莘田外科方案</t>
  </si>
  <si>
    <t>瘍科指南醫案</t>
  </si>
  <si>
    <t>愛月廬醫案</t>
  </si>
  <si>
    <t>竹亭醫案</t>
  </si>
  <si>
    <t>劍慧草堂醫案</t>
  </si>
  <si>
    <t>孤鶴醫案</t>
  </si>
  <si>
    <t>幼科醫驗</t>
  </si>
  <si>
    <t>顧氏醫案</t>
  </si>
  <si>
    <t>費繩甫先生醫案</t>
  </si>
  <si>
    <r>
      <t>沈</t>
    </r>
    <r>
      <rPr>
        <sz val="11"/>
        <color theme="1"/>
        <rFont val="游ゴシック"/>
        <family val="3"/>
        <charset val="136"/>
        <scheme val="minor"/>
      </rPr>
      <t>俞</t>
    </r>
    <r>
      <rPr>
        <sz val="11"/>
        <color theme="1"/>
        <rFont val="游ゴシック"/>
        <family val="2"/>
        <charset val="128"/>
        <scheme val="minor"/>
      </rPr>
      <t>醫案合鈔</t>
    </r>
  </si>
  <si>
    <t>陳蓮舫醫案</t>
  </si>
  <si>
    <t>退庵醫案</t>
  </si>
  <si>
    <t>旌孝堂醫案</t>
  </si>
  <si>
    <t>江澤之醫案</t>
  </si>
  <si>
    <t>王應震要訣</t>
  </si>
  <si>
    <t>邵氏方案</t>
  </si>
  <si>
    <t>臨症經應錄</t>
  </si>
  <si>
    <t>王仲奇醫案</t>
  </si>
  <si>
    <t>李冠仙醫案</t>
  </si>
  <si>
    <t>沈菊人醫案</t>
  </si>
  <si>
    <t>貫唯集</t>
  </si>
  <si>
    <t>葉天士曹仁伯何元長醫案</t>
  </si>
  <si>
    <t>臨診醫案</t>
  </si>
  <si>
    <t>汪藝香先生醫案</t>
  </si>
  <si>
    <t>徐養恬方案</t>
  </si>
  <si>
    <t>慎五堂治驗錄</t>
  </si>
  <si>
    <t>遯園醫案</t>
  </si>
  <si>
    <t>曹仁伯醫案</t>
  </si>
  <si>
    <t>經方實驗錄 ***</t>
  </si>
  <si>
    <t>古今醫案按</t>
  </si>
  <si>
    <t>古今醫案按選</t>
  </si>
  <si>
    <t>繆松心醫案</t>
  </si>
  <si>
    <t>齊氏醫案</t>
  </si>
  <si>
    <t>松心醫案筆記</t>
  </si>
  <si>
    <t>王九峰醫案（一）</t>
  </si>
  <si>
    <t>王九峰醫案（二）</t>
  </si>
  <si>
    <t>王孟英醫案</t>
  </si>
  <si>
    <t>葉氏醫案存真</t>
  </si>
  <si>
    <t>葉天士醫案</t>
  </si>
  <si>
    <t>里中醫案</t>
  </si>
  <si>
    <t>薛案辨疏</t>
  </si>
  <si>
    <t>王氏醫案</t>
  </si>
  <si>
    <t>王氏醫案續編</t>
  </si>
  <si>
    <t>王氏醫案三編</t>
  </si>
  <si>
    <t>王氏醫案繹註</t>
  </si>
  <si>
    <t>洄溪醫案</t>
  </si>
  <si>
    <t>洄溪醫案按</t>
  </si>
  <si>
    <t>石山醫案</t>
  </si>
  <si>
    <t>辨證奇聞</t>
  </si>
  <si>
    <t>靜香樓醫案</t>
  </si>
  <si>
    <t>孫氏醫案</t>
  </si>
  <si>
    <t>千里醫案</t>
  </si>
  <si>
    <t>崇實堂醫案</t>
  </si>
  <si>
    <t>延陵弟子紀要</t>
  </si>
  <si>
    <t>徐渡漁先生醫案</t>
  </si>
  <si>
    <t>推篷寤語</t>
  </si>
  <si>
    <t>舊德堂醫案</t>
  </si>
  <si>
    <t>全國名醫驗案類編</t>
  </si>
  <si>
    <t>醫驗大成</t>
  </si>
  <si>
    <t>曹滄洲醫案</t>
  </si>
  <si>
    <t>醉花窗醫案</t>
  </si>
  <si>
    <t>一瓢醫案</t>
  </si>
  <si>
    <t>湖岳村叟醫案</t>
  </si>
  <si>
    <t>余無言醫案</t>
  </si>
  <si>
    <t>醫論醫話隨筆類</t>
  </si>
  <si>
    <t>藤氏醫談</t>
  </si>
  <si>
    <t>局方發揮</t>
  </si>
  <si>
    <t>柳洲醫話</t>
  </si>
  <si>
    <r>
      <t>馤</t>
    </r>
    <r>
      <rPr>
        <sz val="11"/>
        <color theme="1"/>
        <rFont val="游ゴシック"/>
        <family val="2"/>
        <charset val="128"/>
        <scheme val="minor"/>
      </rPr>
      <t>塘醫話</t>
    </r>
  </si>
  <si>
    <t>冷廬醫話</t>
  </si>
  <si>
    <t>葉選醫衡</t>
  </si>
  <si>
    <t>友漁齋醫話</t>
  </si>
  <si>
    <t>肯堂醫論</t>
  </si>
  <si>
    <t>回春錄</t>
  </si>
  <si>
    <t>客塵醫話</t>
  </si>
  <si>
    <t>醫學源流論</t>
  </si>
  <si>
    <t>醫學源流論_條列版</t>
  </si>
  <si>
    <t>對山醫話</t>
  </si>
  <si>
    <t>研經言</t>
  </si>
  <si>
    <t>醫原</t>
  </si>
  <si>
    <t>質疑錄</t>
  </si>
  <si>
    <r>
      <t>吳</t>
    </r>
    <r>
      <rPr>
        <sz val="11"/>
        <color theme="1"/>
        <rFont val="游ゴシック"/>
        <family val="2"/>
        <charset val="128"/>
        <scheme val="minor"/>
      </rPr>
      <t>醫彙講</t>
    </r>
  </si>
  <si>
    <t>侶山堂類辯</t>
  </si>
  <si>
    <t>醫醫醫</t>
  </si>
  <si>
    <r>
      <t>上池雜</t>
    </r>
    <r>
      <rPr>
        <sz val="11"/>
        <color theme="1"/>
        <rFont val="游ゴシック"/>
        <family val="3"/>
        <charset val="129"/>
        <scheme val="minor"/>
      </rPr>
      <t>說</t>
    </r>
  </si>
  <si>
    <t>歸硯錄</t>
  </si>
  <si>
    <t>醫經溯洄集</t>
  </si>
  <si>
    <t>存存齋醫話稿</t>
  </si>
  <si>
    <r>
      <t>醫</t>
    </r>
    <r>
      <rPr>
        <sz val="11"/>
        <color theme="1"/>
        <rFont val="游ゴシック"/>
        <family val="3"/>
        <charset val="129"/>
        <scheme val="minor"/>
      </rPr>
      <t>說</t>
    </r>
  </si>
  <si>
    <r>
      <t>續醫</t>
    </r>
    <r>
      <rPr>
        <sz val="11"/>
        <color theme="1"/>
        <rFont val="游ゴシック"/>
        <family val="3"/>
        <charset val="129"/>
        <scheme val="minor"/>
      </rPr>
      <t>說</t>
    </r>
  </si>
  <si>
    <t>推求師意</t>
  </si>
  <si>
    <t>格致餘論</t>
  </si>
  <si>
    <t>格致餘論_1</t>
  </si>
  <si>
    <t>醫旨緒餘</t>
  </si>
  <si>
    <t>褚氏遺書</t>
  </si>
  <si>
    <t>履霜集</t>
  </si>
  <si>
    <t>西池集</t>
  </si>
  <si>
    <t>心醫集</t>
  </si>
  <si>
    <t>柳寶詒醫論醫案</t>
  </si>
  <si>
    <t>先醒齋醫學廣筆記</t>
  </si>
  <si>
    <t>醫家心法</t>
  </si>
  <si>
    <t>醫門棒喝</t>
  </si>
  <si>
    <t>古書醫言</t>
  </si>
  <si>
    <t>先哲醫話集</t>
  </si>
  <si>
    <t>醫砭</t>
  </si>
  <si>
    <t>言醫選評</t>
  </si>
  <si>
    <t>醫醫病書</t>
  </si>
  <si>
    <t>醫學原理</t>
  </si>
  <si>
    <t>醫鏡</t>
  </si>
  <si>
    <t>醫辨</t>
  </si>
  <si>
    <t>鬱岡齋醫學筆塵</t>
  </si>
  <si>
    <t>醫學窮源集</t>
  </si>
  <si>
    <r>
      <t>醫易通</t>
    </r>
    <r>
      <rPr>
        <sz val="11"/>
        <color theme="1"/>
        <rFont val="游ゴシック"/>
        <family val="3"/>
        <charset val="129"/>
        <scheme val="minor"/>
      </rPr>
      <t>說</t>
    </r>
  </si>
  <si>
    <t>醫貫砭</t>
  </si>
  <si>
    <t>西溪書屋夜話錄</t>
  </si>
  <si>
    <t>叢桂偶記</t>
  </si>
  <si>
    <t>醫餘</t>
  </si>
  <si>
    <t>醫賸</t>
  </si>
  <si>
    <t>青囊瑣探</t>
  </si>
  <si>
    <t>醫斷與斥醫斷</t>
  </si>
  <si>
    <t>生生堂治驗</t>
  </si>
  <si>
    <t>建殊錄</t>
  </si>
  <si>
    <t>毛對山醫話</t>
  </si>
  <si>
    <t>琉球問答奇病論</t>
  </si>
  <si>
    <t>醫林瑣語</t>
  </si>
  <si>
    <t>醫粹精言</t>
  </si>
  <si>
    <t>存粹醫話</t>
  </si>
  <si>
    <t>客窗偶談</t>
  </si>
  <si>
    <t>怡堂散記</t>
  </si>
  <si>
    <t>願體醫話</t>
  </si>
  <si>
    <t>慈濟醫話</t>
  </si>
  <si>
    <t>懶園醫語</t>
  </si>
  <si>
    <t>折肱漫錄</t>
  </si>
  <si>
    <t>景景醫話</t>
  </si>
  <si>
    <t>景景室醫稿雜存</t>
  </si>
  <si>
    <t>留香館醫話</t>
  </si>
  <si>
    <t>素軒醫語</t>
  </si>
  <si>
    <t>裴子言醫</t>
  </si>
  <si>
    <t>覺廬醫話錄存</t>
  </si>
  <si>
    <t>谷蓀醫話</t>
  </si>
  <si>
    <t>郎中醫話</t>
  </si>
  <si>
    <t>金臺醫案</t>
  </si>
  <si>
    <r>
      <t>靖庵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醫</t>
    </r>
  </si>
  <si>
    <t>黃氏醫話</t>
  </si>
  <si>
    <t>醫學傳心錄</t>
  </si>
  <si>
    <t>醫醫十病</t>
  </si>
  <si>
    <t>士諤醫話</t>
  </si>
  <si>
    <t>止園醫話 ***</t>
  </si>
  <si>
    <t>讀醫隨筆</t>
  </si>
  <si>
    <t>知醫必辨</t>
  </si>
  <si>
    <t>慎疾芻言</t>
  </si>
  <si>
    <t>市隱廬醫學雜著</t>
  </si>
  <si>
    <t>醫學讀書記</t>
  </si>
  <si>
    <t>醫暇卮言</t>
  </si>
  <si>
    <t>重慶堂隨筆</t>
  </si>
  <si>
    <t>醫學課兒策</t>
  </si>
  <si>
    <t>一得集</t>
  </si>
  <si>
    <t>醫醫小草</t>
  </si>
  <si>
    <t>蠢子醫</t>
  </si>
  <si>
    <t>王樂亭指要</t>
  </si>
  <si>
    <t>壽山筆記</t>
  </si>
  <si>
    <t>瘦吟醫贅</t>
  </si>
  <si>
    <t>醫學讀書志</t>
  </si>
  <si>
    <t>乘桴醫影</t>
  </si>
  <si>
    <t>醫貫</t>
  </si>
  <si>
    <t>諸病源候論</t>
  </si>
  <si>
    <t>諸病源候論_1</t>
  </si>
  <si>
    <t>全體病源類纂</t>
  </si>
  <si>
    <t>周慎齋遺書</t>
  </si>
  <si>
    <t>韓氏醫通</t>
  </si>
  <si>
    <t>醫學舉要</t>
  </si>
  <si>
    <t>玉台新案_1</t>
  </si>
  <si>
    <t>醫門法律</t>
  </si>
  <si>
    <t>醫林改錯</t>
  </si>
  <si>
    <t>醫林改錯_1</t>
  </si>
  <si>
    <t>筆花醫鏡</t>
  </si>
  <si>
    <t>脈因證治</t>
  </si>
  <si>
    <t>素問玄機原病式</t>
  </si>
  <si>
    <t>素問玄機原病式_1</t>
  </si>
  <si>
    <t>華氏中藏經</t>
  </si>
  <si>
    <t>脈症治方</t>
  </si>
  <si>
    <t>症因脈治</t>
  </si>
  <si>
    <t>證治彙補</t>
  </si>
  <si>
    <t>傅青主男科重編考釋</t>
  </si>
  <si>
    <t>金匱鉤玄</t>
  </si>
  <si>
    <t>金匱鉤玄_1</t>
  </si>
  <si>
    <t>丹溪心法</t>
  </si>
  <si>
    <t>丹溪心法_1</t>
  </si>
  <si>
    <t>丹溪心法附餘</t>
  </si>
  <si>
    <t>扁鵲心書</t>
  </si>
  <si>
    <t>醫方集宜</t>
  </si>
  <si>
    <t>方症會要</t>
  </si>
  <si>
    <t>醫學芻言</t>
  </si>
  <si>
    <t>平治會萃</t>
  </si>
  <si>
    <t>一見能醫</t>
  </si>
  <si>
    <t>考證病源</t>
  </si>
  <si>
    <t>丹溪治法心要</t>
  </si>
  <si>
    <t>陸地仙經</t>
  </si>
  <si>
    <t>壽世保元</t>
  </si>
  <si>
    <t>藥性歌括_1</t>
  </si>
  <si>
    <t>此事難知</t>
  </si>
  <si>
    <t>此事難知_1</t>
  </si>
  <si>
    <t>古今醫統大全</t>
  </si>
  <si>
    <t>松崖醫徑</t>
  </si>
  <si>
    <t>醫壘元戎</t>
  </si>
  <si>
    <t>斑論萃英</t>
  </si>
  <si>
    <t>醫門補要</t>
  </si>
  <si>
    <t>玉機微義</t>
  </si>
  <si>
    <t>古今醫鑑</t>
  </si>
  <si>
    <t>古今醫鑑（初刊本）</t>
  </si>
  <si>
    <t>萬病回春</t>
  </si>
  <si>
    <t>明醫雜著</t>
  </si>
  <si>
    <t>醫學發明</t>
  </si>
  <si>
    <t>丹溪手鏡</t>
  </si>
  <si>
    <t>張氏醫通</t>
  </si>
  <si>
    <t>張氏醫通_1</t>
  </si>
  <si>
    <t>丹臺玉案</t>
  </si>
  <si>
    <t>醫學實在易</t>
  </si>
  <si>
    <t>古今醫徹</t>
  </si>
  <si>
    <t>四聖心源</t>
  </si>
  <si>
    <t>醫學心悟</t>
  </si>
  <si>
    <t>校注醫醇賸義</t>
  </si>
  <si>
    <t>醫學指歸</t>
  </si>
  <si>
    <t>醫經小學</t>
  </si>
  <si>
    <t>衛生寶鑑</t>
  </si>
  <si>
    <t>明醫指掌</t>
  </si>
  <si>
    <t>軒岐救正論</t>
  </si>
  <si>
    <t>三因極一病證方論</t>
  </si>
  <si>
    <t>簡明醫彀</t>
  </si>
  <si>
    <t>石室秘錄</t>
  </si>
  <si>
    <t>醫述</t>
  </si>
  <si>
    <t>醫學三字經</t>
  </si>
  <si>
    <t>醫學真傳</t>
  </si>
  <si>
    <t>類證治裁</t>
  </si>
  <si>
    <t>類證治裁_1</t>
  </si>
  <si>
    <t>蘭室秘藏</t>
  </si>
  <si>
    <t>蘭室秘藏_1</t>
  </si>
  <si>
    <t>醫學見能</t>
  </si>
  <si>
    <t>儒門事親</t>
  </si>
  <si>
    <t>儒門事親_1</t>
  </si>
  <si>
    <t>雜病源流犀燭</t>
  </si>
  <si>
    <t>醫醫偶錄</t>
  </si>
  <si>
    <t>醫宗己任編</t>
  </si>
  <si>
    <t>秘傳證治要訣及類方</t>
  </si>
  <si>
    <t>醫學摘粹</t>
  </si>
  <si>
    <t>馮氏錦囊秘錄</t>
  </si>
  <si>
    <t>醫學衷中參西錄</t>
  </si>
  <si>
    <t>醫學入門</t>
  </si>
  <si>
    <t>景岳全書</t>
  </si>
  <si>
    <t>醫學綱目</t>
  </si>
  <si>
    <t>羅氏會約醫鏡</t>
  </si>
  <si>
    <t>顧松園醫鏡</t>
  </si>
  <si>
    <t>辨證錄</t>
  </si>
  <si>
    <t>辨證錄_1</t>
  </si>
  <si>
    <t>蒼生司命</t>
  </si>
  <si>
    <t>刪補頤生微論</t>
  </si>
  <si>
    <t>醫法圓通</t>
  </si>
  <si>
    <r>
      <t>醫宗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約</t>
    </r>
  </si>
  <si>
    <t>景岳全書發揮</t>
  </si>
  <si>
    <t>醫宗必讀</t>
  </si>
  <si>
    <t>雲林神彀</t>
  </si>
  <si>
    <t>濟世全書</t>
  </si>
  <si>
    <t>蘭臺軌範</t>
  </si>
  <si>
    <t>赤水玄珠</t>
  </si>
  <si>
    <t>備急千金要方</t>
  </si>
  <si>
    <t>備急千金要方_1</t>
  </si>
  <si>
    <t>大醫精誠_1</t>
  </si>
  <si>
    <t>千金翼方</t>
  </si>
  <si>
    <t>千金翼方_1</t>
  </si>
  <si>
    <t>外臺秘要</t>
  </si>
  <si>
    <t>外臺秘要_1</t>
  </si>
  <si>
    <t>醫心方</t>
  </si>
  <si>
    <t>鱠殘篇</t>
  </si>
  <si>
    <t>長沙證彙</t>
  </si>
  <si>
    <t>醫學三信編</t>
  </si>
  <si>
    <t>醫學研悅</t>
  </si>
  <si>
    <t>醫中一得</t>
  </si>
  <si>
    <t>醫學集成</t>
  </si>
  <si>
    <t>醫學體用</t>
  </si>
  <si>
    <r>
      <t>醫學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約</t>
    </r>
  </si>
  <si>
    <t>醫學輯要</t>
  </si>
  <si>
    <t>醫易一理</t>
  </si>
  <si>
    <t>醫津一筏</t>
  </si>
  <si>
    <t>醫病簡要</t>
  </si>
  <si>
    <t>醫經秘旨</t>
  </si>
  <si>
    <t>村居救急方</t>
  </si>
  <si>
    <t>敺蠱燃犀錄</t>
  </si>
  <si>
    <t>類證普濟本事方續集</t>
  </si>
  <si>
    <t>沈氏尊生書</t>
  </si>
  <si>
    <t>經歷雜論</t>
  </si>
  <si>
    <t>過庭錄存</t>
  </si>
  <si>
    <t>中風斠詮</t>
  </si>
  <si>
    <t>醫學心悟雜症要義</t>
  </si>
  <si>
    <t>家用良方</t>
  </si>
  <si>
    <t>醫經國小</t>
  </si>
  <si>
    <t>圓運動的古中醫學</t>
  </si>
  <si>
    <r>
      <t>簡明中西匯參醫學圖</t>
    </r>
    <r>
      <rPr>
        <sz val="11"/>
        <color theme="1"/>
        <rFont val="游ゴシック"/>
        <family val="3"/>
        <charset val="129"/>
        <scheme val="minor"/>
      </rPr>
      <t>說</t>
    </r>
  </si>
  <si>
    <r>
      <t>臟腑證治圖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人鏡經</t>
    </r>
  </si>
  <si>
    <r>
      <t>玄門脈訣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照圖</t>
    </r>
  </si>
  <si>
    <t>東垣試效方</t>
  </si>
  <si>
    <t>醫經會解</t>
  </si>
  <si>
    <t>醫經大旨</t>
  </si>
  <si>
    <t>醫師秘笈</t>
  </si>
  <si>
    <t>醫學要則</t>
  </si>
  <si>
    <r>
      <t>新刻華佗</t>
    </r>
    <r>
      <rPr>
        <sz val="11"/>
        <color theme="1"/>
        <rFont val="游ゴシック"/>
        <family val="3"/>
        <charset val="129"/>
        <scheme val="minor"/>
      </rPr>
      <t>內</t>
    </r>
    <r>
      <rPr>
        <sz val="11"/>
        <color theme="1"/>
        <rFont val="游ゴシック"/>
        <family val="2"/>
        <charset val="128"/>
        <scheme val="minor"/>
      </rPr>
      <t>照圖</t>
    </r>
  </si>
  <si>
    <t>新刊醫學集成</t>
  </si>
  <si>
    <t>奇效醫述</t>
  </si>
  <si>
    <r>
      <t>醫學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源</t>
    </r>
  </si>
  <si>
    <t>古今名醫彙粹</t>
  </si>
  <si>
    <t>中國醫籍考</t>
  </si>
  <si>
    <r>
      <t>醫事</t>
    </r>
    <r>
      <rPr>
        <sz val="11"/>
        <color theme="1"/>
        <rFont val="游ゴシック"/>
        <family val="3"/>
        <charset val="136"/>
        <scheme val="minor"/>
      </rPr>
      <t>啟</t>
    </r>
    <r>
      <rPr>
        <sz val="11"/>
        <color theme="1"/>
        <rFont val="游ゴシック"/>
        <family val="2"/>
        <charset val="128"/>
        <scheme val="minor"/>
      </rPr>
      <t>源</t>
    </r>
  </si>
  <si>
    <t>中國醫學源流論</t>
  </si>
  <si>
    <t>皇國名醫傳</t>
  </si>
  <si>
    <t>其他類</t>
  </si>
  <si>
    <t>易經</t>
  </si>
  <si>
    <t>洗冤集錄</t>
  </si>
  <si>
    <t>太醫局諸科程文格</t>
  </si>
  <si>
    <t>叢書</t>
  </si>
  <si>
    <t>保嬰粹要</t>
  </si>
  <si>
    <t>婦人良方</t>
  </si>
  <si>
    <t>證治準繩·傷寒_1</t>
  </si>
  <si>
    <t>證治準繩·女科_1</t>
  </si>
  <si>
    <t>醫宗金鑑_1</t>
  </si>
  <si>
    <t>醫宗金鑑_2·訂正仲景全書</t>
  </si>
  <si>
    <t>醫宗金鑑_條列版·訂正仲景全書傷寒論註</t>
  </si>
  <si>
    <t>醫宗金鑑_條列版·訂正仲景全書金匱要略註</t>
  </si>
  <si>
    <t>醫宗金鑑_條列版·刪補名醫方論</t>
  </si>
  <si>
    <t>醫宗金鑑_條列版·雜病心法</t>
  </si>
  <si>
    <t>醫宗金鑑_條列版·婦科心法要訣</t>
  </si>
  <si>
    <t>醫宗金鑑_條列版·幼科雜病心法</t>
  </si>
  <si>
    <t>醫宗金鑑_條列版·痘疹心法要訣</t>
  </si>
  <si>
    <t>醫宗金鑑_條列版·眼科心法</t>
  </si>
  <si>
    <t>醫宗金鑑_條列版·刺灸心法要訣</t>
  </si>
  <si>
    <t>醫宗金鑑_條列版·正骨心法要旨</t>
  </si>
  <si>
    <t>医経類</t>
  </si>
  <si>
    <t>内経</t>
  </si>
  <si>
    <t>黄帝内経素問</t>
  </si>
  <si>
    <t>黄帝内経素問_条列版</t>
  </si>
  <si>
    <t>黄帝内経素問遺篇_1</t>
  </si>
  <si>
    <t>黄帝内経素問補註釈文</t>
  </si>
  <si>
    <t>素問経注節解</t>
  </si>
  <si>
    <t>黄帝内経素問校義</t>
  </si>
  <si>
    <t>黄帝素問直解</t>
  </si>
  <si>
    <t>黄帝内経素問集註</t>
  </si>
  <si>
    <t>黄帝経世素問合編</t>
  </si>
  <si>
    <t>読素問鈔</t>
  </si>
  <si>
    <t>素問呉註</t>
  </si>
  <si>
    <t>素問六気玄珠密語</t>
  </si>
  <si>
    <t>素問病機気宜保命集</t>
  </si>
  <si>
    <t>素問病機気宜保命集_1</t>
  </si>
  <si>
    <t>医宗金鑑·運気要訣</t>
  </si>
  <si>
    <t>運気証治歌訣</t>
  </si>
  <si>
    <t>素問入式運気論奥</t>
  </si>
  <si>
    <t>霊枢</t>
  </si>
  <si>
    <t>霊枢_条列版</t>
  </si>
  <si>
    <t>黄帝内経霊枢集註</t>
  </si>
  <si>
    <t>霊枢識</t>
  </si>
  <si>
    <t>霊枢懸解</t>
  </si>
  <si>
    <t>霊枢心得</t>
  </si>
  <si>
    <t>黄帝内経霊枢略</t>
  </si>
  <si>
    <t>黄帝素問霊枢集註</t>
  </si>
  <si>
    <t>黄帝内経太素</t>
  </si>
  <si>
    <t>内経評文</t>
  </si>
  <si>
    <t>医家千字文</t>
  </si>
  <si>
    <t>内経弁言</t>
  </si>
  <si>
    <t>黄帝内経霊枢註証発微</t>
  </si>
  <si>
    <t>類経</t>
  </si>
  <si>
    <t>類経_1</t>
  </si>
  <si>
    <t>類経巻五六色脈篇_条列版</t>
  </si>
  <si>
    <t>内経知要</t>
  </si>
  <si>
    <t>素問霊枢類纂約註</t>
  </si>
  <si>
    <t>霊素節注類編</t>
  </si>
  <si>
    <t>医経原旨</t>
  </si>
  <si>
    <t>内経薬瀹</t>
  </si>
  <si>
    <t>医経読</t>
  </si>
  <si>
    <t>中西匯通医経精義</t>
  </si>
  <si>
    <t>黄帝素問宣明論方</t>
  </si>
  <si>
    <t>黄帝素問宣明論方_1</t>
  </si>
  <si>
    <t>内経博議</t>
  </si>
  <si>
    <t>内経運気病釈</t>
  </si>
  <si>
    <t>内経運気表</t>
  </si>
  <si>
    <t>内経難字音義</t>
  </si>
  <si>
    <t>運気易覧</t>
  </si>
  <si>
    <t>外経微言</t>
  </si>
  <si>
    <t>四聖懸枢</t>
  </si>
  <si>
    <t>素霊微蘊</t>
  </si>
  <si>
    <t>難経</t>
  </si>
  <si>
    <t>八十一難経 ****</t>
  </si>
  <si>
    <t>古本難経闡註 ****</t>
  </si>
  <si>
    <t>難経集註</t>
  </si>
  <si>
    <t>難経古義</t>
  </si>
  <si>
    <t>難経正義</t>
  </si>
  <si>
    <t>難経経釈 ****</t>
  </si>
  <si>
    <t>難経本義</t>
  </si>
  <si>
    <t>難経本義_条列版</t>
  </si>
  <si>
    <t>難経疏証</t>
  </si>
  <si>
    <t>難経懸解</t>
  </si>
  <si>
    <t>鍥王氏秘伝図註八十一難経評林捷径統宗</t>
  </si>
  <si>
    <t>黄帝八十一難経纂図句解</t>
  </si>
  <si>
    <t>黄帝外経</t>
  </si>
  <si>
    <t>医燈続焰</t>
  </si>
  <si>
    <t>医宗金鑑·四診心法要訣</t>
  </si>
  <si>
    <t>医会元要</t>
  </si>
  <si>
    <t>医学指要</t>
  </si>
  <si>
    <t>医階弁証</t>
  </si>
  <si>
    <t>医験随筆</t>
  </si>
  <si>
    <t>証治心伝</t>
  </si>
  <si>
    <t>証治心伝_1</t>
  </si>
  <si>
    <t>脈経</t>
  </si>
  <si>
    <t>脈経_1</t>
  </si>
  <si>
    <t>脈訣指掌病式図説</t>
  </si>
  <si>
    <t>瀕湖脈学</t>
  </si>
  <si>
    <t>瀕湖脈学脈訣</t>
  </si>
  <si>
    <t>脈訣彙弁</t>
  </si>
  <si>
    <t>脈訣考証</t>
  </si>
  <si>
    <t>三指禅</t>
  </si>
  <si>
    <t>診家枢要</t>
  </si>
  <si>
    <t>脈経鈔</t>
  </si>
  <si>
    <t>医学脈燈</t>
  </si>
  <si>
    <t>脈学類編</t>
  </si>
  <si>
    <t>脈学輯要</t>
  </si>
  <si>
    <t>弁脈平脈章句</t>
  </si>
  <si>
    <t>丹渓脈訣指掌</t>
  </si>
  <si>
    <t>診脈三十二弁</t>
  </si>
  <si>
    <t>診脈三十二弁_1</t>
  </si>
  <si>
    <t>医学真経察脈総括</t>
  </si>
  <si>
    <t>鍥王氏秘伝叔和図注釈義脈訣評林捷径統宗</t>
  </si>
  <si>
    <t>新刊勿聴子俗解脈訣</t>
  </si>
  <si>
    <t>図註王叔和脈訣</t>
  </si>
  <si>
    <t>望診遵経</t>
  </si>
  <si>
    <t>敖氏傷寒金鏡録</t>
  </si>
  <si>
    <t>臨症験舌法</t>
  </si>
  <si>
    <t>察舌弁症新法</t>
  </si>
  <si>
    <t>弁舌指南</t>
  </si>
  <si>
    <t>神農本草経</t>
  </si>
  <si>
    <t>神農本草経_1</t>
  </si>
  <si>
    <t>神農本草経_2</t>
  </si>
  <si>
    <t>呉普本草</t>
  </si>
  <si>
    <t>本草経集註</t>
  </si>
  <si>
    <t>海薬本草</t>
  </si>
  <si>
    <t>本草図経</t>
  </si>
  <si>
    <t>名医別録</t>
  </si>
  <si>
    <t>証類本草</t>
  </si>
  <si>
    <t>本草発揮</t>
  </si>
  <si>
    <t>珍珠囊薬性賦</t>
  </si>
  <si>
    <t>珍珠囊補遺薬性賦</t>
  </si>
  <si>
    <t>增広和剤局方薬性総論</t>
  </si>
  <si>
    <t>神農本草経疏</t>
  </si>
  <si>
    <t>証治本草</t>
  </si>
  <si>
    <t>本草乗雅半偈</t>
  </si>
  <si>
    <t>本草徴要</t>
  </si>
  <si>
    <t>本草易読</t>
  </si>
  <si>
    <t>雷公炮製薬性解</t>
  </si>
  <si>
    <t>薬鑑</t>
  </si>
  <si>
    <t>食物本草会纂</t>
  </si>
  <si>
    <t>本草備要_条列版</t>
  </si>
  <si>
    <t>增訂図註本草備要</t>
  </si>
  <si>
    <t>要薬分剤</t>
  </si>
  <si>
    <t>本経逢原</t>
  </si>
  <si>
    <t>本経逢原_1</t>
  </si>
  <si>
    <t>本草経解</t>
  </si>
  <si>
    <t>本草従新</t>
  </si>
  <si>
    <t>神農本草経読</t>
  </si>
  <si>
    <t>神農本草経読_条列版</t>
  </si>
  <si>
    <t>神農本草経百種録 ****</t>
  </si>
  <si>
    <t>本草述鈎元</t>
  </si>
  <si>
    <t>本草思弁録 ****</t>
  </si>
  <si>
    <t>本草綱目別名録</t>
  </si>
  <si>
    <t>本草択要綱目</t>
  </si>
  <si>
    <t>本草分経</t>
  </si>
  <si>
    <t>薬性切用</t>
  </si>
  <si>
    <t>薬論</t>
  </si>
  <si>
    <t>長沙薬解</t>
  </si>
  <si>
    <t>玉楸薬解</t>
  </si>
  <si>
    <t>本経疏証 ***</t>
  </si>
  <si>
    <t>本草便読</t>
  </si>
  <si>
    <t>神農本草経賛</t>
  </si>
  <si>
    <t>薬症忌宜</t>
  </si>
  <si>
    <t>增訂偽薬条弁</t>
  </si>
  <si>
    <t>薬種抄</t>
  </si>
  <si>
    <t>薬性能毒</t>
  </si>
  <si>
    <t>薬徴</t>
  </si>
  <si>
    <t>薬徴続編</t>
  </si>
  <si>
    <t>漢薬研究綱要</t>
  </si>
  <si>
    <t>中国薬物学大綱</t>
  </si>
  <si>
    <t>犀黄之研究</t>
  </si>
  <si>
    <t>中国薬一百種之化学実験</t>
  </si>
  <si>
    <t>漢薬良劣鑑別法</t>
  </si>
  <si>
    <t>炮製専著</t>
  </si>
  <si>
    <t>医方類</t>
  </si>
  <si>
    <t>唐以前医方</t>
  </si>
  <si>
    <t>仙授理傷続断秘方</t>
  </si>
  <si>
    <t>宋金元医方</t>
  </si>
  <si>
    <t>太平聖恵方</t>
  </si>
  <si>
    <t>博済方</t>
  </si>
  <si>
    <t>太平恵民和剤局方</t>
  </si>
  <si>
    <t>太平恵民和剤局方_1</t>
  </si>
  <si>
    <t>聖済総録</t>
  </si>
  <si>
    <t>聖済総録纂要</t>
  </si>
  <si>
    <t>雞峰普済方</t>
  </si>
  <si>
    <t>普済本事方</t>
  </si>
  <si>
    <t>洪氏集験方</t>
  </si>
  <si>
    <t>楊氏家蔵方</t>
  </si>
  <si>
    <t>千金宝要</t>
  </si>
  <si>
    <t>仁斎直指方論</t>
  </si>
  <si>
    <t>厳氏済生方</t>
  </si>
  <si>
    <t>瑞竹堂経験方</t>
  </si>
  <si>
    <t>瑞竹堂経験方（四庫本）</t>
  </si>
  <si>
    <t>御薬院方</t>
  </si>
  <si>
    <t>世医得効方</t>
  </si>
  <si>
    <t>是斎百一選方</t>
  </si>
  <si>
    <t>伝信適用方</t>
  </si>
  <si>
    <t>活人事証方後集</t>
  </si>
  <si>
    <t>類編朱氏集験医方</t>
  </si>
  <si>
    <t>明代医方</t>
  </si>
  <si>
    <t>普済方</t>
  </si>
  <si>
    <t>普済方·嬰孩門</t>
  </si>
  <si>
    <t>奇効良方</t>
  </si>
  <si>
    <t>医方考</t>
  </si>
  <si>
    <t>仁術便覧</t>
  </si>
  <si>
    <t>祖剤</t>
  </si>
  <si>
    <t>医便</t>
  </si>
  <si>
    <t>証治準縄·類方</t>
  </si>
  <si>
    <t>扶寿精方</t>
  </si>
  <si>
    <t>医方選要</t>
  </si>
  <si>
    <t>傅氏雑方</t>
  </si>
  <si>
    <t>金鏡内台方議</t>
  </si>
  <si>
    <t>万氏家抄済世良方</t>
  </si>
  <si>
    <t>医方捷径指南全書</t>
  </si>
  <si>
    <t>清以後医方</t>
  </si>
  <si>
    <t>十剤表</t>
  </si>
  <si>
    <t>太医院秘蔵膏丹丸散方剤</t>
  </si>
  <si>
    <t>喩選古方試験</t>
  </si>
  <si>
    <t>医論拾遺</t>
  </si>
  <si>
    <t>不知医必要</t>
  </si>
  <si>
    <t>医通祖方</t>
  </si>
  <si>
    <t>丁甘仁先生家伝珍方</t>
  </si>
  <si>
    <t>医方絜度</t>
  </si>
  <si>
    <t>儒医心鏡</t>
  </si>
  <si>
    <t>不謝方一巻</t>
  </si>
  <si>
    <t>歴験再寿編</t>
  </si>
  <si>
    <t>霊薬秘方</t>
  </si>
  <si>
    <t>秘方集験</t>
  </si>
  <si>
    <t>医方簡義</t>
  </si>
  <si>
    <t>医宗金鑑·刪補名医方論</t>
  </si>
  <si>
    <t>古今名医方論</t>
  </si>
  <si>
    <t>医方集解</t>
  </si>
  <si>
    <t>医方集解_条列版</t>
  </si>
  <si>
    <t>医方論</t>
  </si>
  <si>
    <t>大小諸証方論</t>
  </si>
  <si>
    <t>経方例釈</t>
  </si>
  <si>
    <t>類証普済本事方釈義</t>
  </si>
  <si>
    <t>医方証治彙編歌訣</t>
  </si>
  <si>
    <t>医方歌括</t>
  </si>
  <si>
    <t>增訂医方歌訣</t>
  </si>
  <si>
    <t>診験医方歌括</t>
  </si>
  <si>
    <t>成方便読</t>
  </si>
  <si>
    <t>薬治通義</t>
  </si>
  <si>
    <t>方剤辞典</t>
  </si>
  <si>
    <t>家塾方与方極</t>
  </si>
  <si>
    <t>医略抄</t>
  </si>
  <si>
    <t>単方験方</t>
  </si>
  <si>
    <t>串雅内外編</t>
  </si>
  <si>
    <t>験方新編</t>
  </si>
  <si>
    <t>済世神験良方</t>
  </si>
  <si>
    <t>神仙済世良方</t>
  </si>
  <si>
    <t>旅舎備要方</t>
  </si>
  <si>
    <t>経験丹方彙編</t>
  </si>
  <si>
    <t>集験方</t>
  </si>
  <si>
    <t>奇効簡便良方</t>
  </si>
  <si>
    <t>恵直堂経験方</t>
  </si>
  <si>
    <t>経験奇方</t>
  </si>
  <si>
    <t>外治寿世方</t>
  </si>
  <si>
    <t>文堂集験方</t>
  </si>
  <si>
    <t>外科経験方</t>
  </si>
  <si>
    <t>雞鳴録</t>
  </si>
  <si>
    <t>春脚集</t>
  </si>
  <si>
    <t>済世珍宝</t>
  </si>
  <si>
    <t>呉氏医方彙編</t>
  </si>
  <si>
    <t>臨証一得方</t>
  </si>
  <si>
    <t>温隠居海上仙方</t>
  </si>
  <si>
    <t>葉氏録験方</t>
  </si>
  <si>
    <t>経験良方全集</t>
  </si>
  <si>
    <t>医方拾錦</t>
  </si>
  <si>
    <t>益世経験良方</t>
  </si>
  <si>
    <t>張愛廬臨証経験方</t>
  </si>
  <si>
    <t>怪証奇方</t>
  </si>
  <si>
    <t>応急良方</t>
  </si>
  <si>
    <t>潜斎簡効方</t>
  </si>
  <si>
    <t>四科簡効方</t>
  </si>
  <si>
    <t>校訂願体医話良方</t>
  </si>
  <si>
    <t>本草単方</t>
  </si>
  <si>
    <t>凌臨霊方</t>
  </si>
  <si>
    <t>傅氏験方秘方</t>
  </si>
  <si>
    <t>経験選秘</t>
  </si>
  <si>
    <t>良朋彙集経験神方</t>
  </si>
  <si>
    <t>菉竹堂集験方</t>
  </si>
  <si>
    <t>䱐渓秘伝簡験方</t>
  </si>
  <si>
    <t>霊験良方彙編</t>
  </si>
  <si>
    <t>鍼灸経穴類</t>
  </si>
  <si>
    <t>奇経八脈考</t>
  </si>
  <si>
    <t>鍼灸大全</t>
  </si>
  <si>
    <t>凌門伝授銅人指穴</t>
  </si>
  <si>
    <t>鍼灸神書</t>
  </si>
  <si>
    <t>鍼灸甲乙経</t>
  </si>
  <si>
    <t>鍼灸甲乙経_1</t>
  </si>
  <si>
    <t>金針秘伝</t>
  </si>
  <si>
    <t>鍼灸集成</t>
  </si>
  <si>
    <t>扁鵲神応鍼灸玉龍経</t>
  </si>
  <si>
    <t>楊敬斎鍼灸全書</t>
  </si>
  <si>
    <t>経絡彙編</t>
  </si>
  <si>
    <t>経絡全書</t>
  </si>
  <si>
    <t>鍼灸易学</t>
  </si>
  <si>
    <t>普済方·鍼灸門</t>
  </si>
  <si>
    <t>鍼灸聚英</t>
  </si>
  <si>
    <t>鍼灸聚英_1</t>
  </si>
  <si>
    <t>医宗金鑑·刺灸心法要訣</t>
  </si>
  <si>
    <t>鍼灸問対</t>
  </si>
  <si>
    <t>鍼灸問対_1</t>
  </si>
  <si>
    <t>針経指南</t>
  </si>
  <si>
    <t>黄帝明堂灸経</t>
  </si>
  <si>
    <t>針経節要</t>
  </si>
  <si>
    <t>鍼灸資生経</t>
  </si>
  <si>
    <t>鍼灸素難要旨</t>
  </si>
  <si>
    <t>経穴彙解</t>
  </si>
  <si>
    <t>西方子明堂灸経</t>
  </si>
  <si>
    <t>霊枢経脈翼</t>
  </si>
  <si>
    <t>経絡考</t>
  </si>
  <si>
    <t>十四経発揮</t>
  </si>
  <si>
    <t>十四経発揮_1</t>
  </si>
  <si>
    <t>鍼灸大成</t>
  </si>
  <si>
    <t>鍼灸大成_1</t>
  </si>
  <si>
    <t>鍼灸節要</t>
  </si>
  <si>
    <t>神応経</t>
  </si>
  <si>
    <t>鍼灸逢源</t>
  </si>
  <si>
    <t>類経図翼</t>
  </si>
  <si>
    <t>中西匯参銅人図説</t>
  </si>
  <si>
    <t>鍼灸問答</t>
  </si>
  <si>
    <t>経脈図考</t>
  </si>
  <si>
    <t>勉学堂鍼灸集成</t>
  </si>
  <si>
    <t>証治針経</t>
  </si>
  <si>
    <t>鍼灸学綱要</t>
  </si>
  <si>
    <t>針学通論</t>
  </si>
  <si>
    <t>経穴纂要</t>
  </si>
  <si>
    <t>身経通考</t>
  </si>
  <si>
    <t>子午流注針経</t>
  </si>
  <si>
    <t>灸法秘伝</t>
  </si>
  <si>
    <t>子午流注説難</t>
  </si>
  <si>
    <t>神灸経綸</t>
  </si>
  <si>
    <t>銅人鍼灸経</t>
  </si>
  <si>
    <t>銅人腧穴鍼灸図経</t>
  </si>
  <si>
    <t>新刊補註銅人腧穴鍼灸図経</t>
  </si>
  <si>
    <t>傷寒雑病論集解</t>
  </si>
  <si>
    <t>類証活人書</t>
  </si>
  <si>
    <t>類証活人書_1</t>
  </si>
  <si>
    <t>傷寒遡源集</t>
  </si>
  <si>
    <t>傷寒来蘇集</t>
  </si>
  <si>
    <t>傷寒論註来蘇集</t>
  </si>
  <si>
    <t>傷寒論条弁</t>
  </si>
  <si>
    <t>傷寒論条弁_1</t>
  </si>
  <si>
    <t>医宗金鑑·訂正仲景全書傷寒論註</t>
  </si>
  <si>
    <t>傷寒経解</t>
  </si>
  <si>
    <t>傷寒論浅註補正</t>
  </si>
  <si>
    <t>傷寒論浅註補正_1</t>
  </si>
  <si>
    <t>傷寒論読</t>
  </si>
  <si>
    <t>劉河間傷寒医鑑</t>
  </si>
  <si>
    <t>傷寒論弁証広註</t>
  </si>
  <si>
    <t>中寒論弁証広註</t>
  </si>
  <si>
    <t>傷寒総病論</t>
  </si>
  <si>
    <t>傷寒総病論_1</t>
  </si>
  <si>
    <t>傷寒瘟疫条弁</t>
  </si>
  <si>
    <t>傷寒広要</t>
  </si>
  <si>
    <t>傷寒説意</t>
  </si>
  <si>
    <t>感症宝筏</t>
  </si>
  <si>
    <t>傷寒兼証析義</t>
  </si>
  <si>
    <t>傷寒弁要箋記</t>
  </si>
  <si>
    <t>皇漢医学 ***</t>
  </si>
  <si>
    <t>傷寒恒論</t>
  </si>
  <si>
    <t>傷寒百証歌</t>
  </si>
  <si>
    <t>傷寒発微論</t>
  </si>
  <si>
    <t>傷寒審証表</t>
  </si>
  <si>
    <t>傷寒医訣串解</t>
  </si>
  <si>
    <t>医宗金鑑·傷寒心法要訣</t>
  </si>
  <si>
    <t>傷寒用薬研究</t>
  </si>
  <si>
    <t>傷寒論陽明病釈</t>
  </si>
  <si>
    <t>傷寒脈証式</t>
  </si>
  <si>
    <t>傷寒類書活人総括</t>
  </si>
  <si>
    <t>類編傷寒活人書括指掌図論</t>
  </si>
  <si>
    <t>傷寒論劉氏伝</t>
  </si>
  <si>
    <t>金匱玉函経</t>
  </si>
  <si>
    <t>金匱玉函経二註</t>
  </si>
  <si>
    <t>医宗金鑑·訂正仲景全書金匱要略註</t>
  </si>
  <si>
    <t>金匱要略広註</t>
  </si>
  <si>
    <t>金匱要略浅註</t>
  </si>
  <si>
    <t>金匱要略浅註補正</t>
  </si>
  <si>
    <t>曹氏傷寒金匱発微合刊</t>
  </si>
  <si>
    <t>温病類</t>
  </si>
  <si>
    <t>温熱論 ****</t>
  </si>
  <si>
    <t>温熱逢源</t>
  </si>
  <si>
    <t>温熱逢源_1</t>
  </si>
  <si>
    <t>温疫論</t>
  </si>
  <si>
    <t>温疫論_1</t>
  </si>
  <si>
    <t>重訂広温熱論</t>
  </si>
  <si>
    <t>温病指南</t>
  </si>
  <si>
    <t>温熱経緯</t>
  </si>
  <si>
    <t>三時伏気外感篇_1</t>
  </si>
  <si>
    <t>外感温病篇_1</t>
  </si>
  <si>
    <t>湿熱病篇_1</t>
  </si>
  <si>
    <t>温病条弁</t>
  </si>
  <si>
    <t>温病条弁_1</t>
  </si>
  <si>
    <t>温病条弁_条列版</t>
  </si>
  <si>
    <t>温病正宗</t>
  </si>
  <si>
    <t>重訂温熱経解</t>
  </si>
  <si>
    <t>医寄伏陰論</t>
  </si>
  <si>
    <t>薛氏湿熱論歌訣</t>
  </si>
  <si>
    <t>温熱論箋正</t>
  </si>
  <si>
    <t>六因条弁</t>
  </si>
  <si>
    <t>六気感証要義</t>
  </si>
  <si>
    <t>温病弁症</t>
  </si>
  <si>
    <t>湿熱条弁</t>
  </si>
  <si>
    <t>中西温熱串解</t>
  </si>
  <si>
    <t>温疫論私評</t>
  </si>
  <si>
    <t>広瘟疫論</t>
  </si>
  <si>
    <t>広瘟疫論_1</t>
  </si>
  <si>
    <t>呉又可温疫論歌括</t>
  </si>
  <si>
    <t>温病之研究</t>
  </si>
  <si>
    <t>伏瘟証治実験談</t>
  </si>
  <si>
    <t>温証指帰</t>
  </si>
  <si>
    <t>温熱暑疫全書</t>
  </si>
  <si>
    <t>温疫明弁歌訣</t>
  </si>
  <si>
    <t>湿温時疫治療法</t>
  </si>
  <si>
    <t>弁疫瑣言</t>
  </si>
  <si>
    <t>松峰説疫</t>
  </si>
  <si>
    <t>随息居重訂霍乱論</t>
  </si>
  <si>
    <t>霍乱燃犀説</t>
  </si>
  <si>
    <t>痙病与脳膜炎全書</t>
  </si>
  <si>
    <t>痘科弁要</t>
  </si>
  <si>
    <t>暑症発原</t>
  </si>
  <si>
    <t>羊毛瘟証論</t>
  </si>
  <si>
    <t>内科</t>
  </si>
  <si>
    <t>輔行訣臓腑用薬法要</t>
  </si>
  <si>
    <t>医宗金鑑·雑病心法要訣</t>
  </si>
  <si>
    <r>
      <t>医</t>
    </r>
    <r>
      <rPr>
        <sz val="11"/>
        <color theme="1"/>
        <rFont val="游ゴシック"/>
        <family val="3"/>
        <charset val="136"/>
        <scheme val="minor"/>
      </rPr>
      <t>碥</t>
    </r>
  </si>
  <si>
    <t>医学正伝</t>
  </si>
  <si>
    <t>雑症会心録</t>
  </si>
  <si>
    <t>雑病広要</t>
  </si>
  <si>
    <t>内外傷弁惑論</t>
  </si>
  <si>
    <t>内外傷弁惑論_1</t>
  </si>
  <si>
    <t>内科摘要</t>
  </si>
  <si>
    <t>証治準縄·雑病</t>
  </si>
  <si>
    <t>血証論</t>
  </si>
  <si>
    <t>血証論_1</t>
  </si>
  <si>
    <t>医学伝燈</t>
  </si>
  <si>
    <t>重訂霊蘭要覧</t>
  </si>
  <si>
    <t>弁症玉函</t>
  </si>
  <si>
    <t>医学妙諦</t>
  </si>
  <si>
    <t>医略十三篇</t>
  </si>
  <si>
    <t>通俗内科学</t>
  </si>
  <si>
    <t>雑病治例</t>
  </si>
  <si>
    <t>医効秘伝</t>
  </si>
  <si>
    <t>済陽綱目</t>
  </si>
  <si>
    <t>医学従衆録</t>
  </si>
  <si>
    <t>証治摘要</t>
  </si>
  <si>
    <t>中国内科医鑑</t>
  </si>
  <si>
    <t>医学砕金</t>
  </si>
  <si>
    <t>医学答問</t>
  </si>
  <si>
    <t>医学要数</t>
  </si>
  <si>
    <t>文十六巻</t>
  </si>
  <si>
    <t>評琴書屋医略</t>
  </si>
  <si>
    <t>専論</t>
  </si>
  <si>
    <t>何氏虚労心伝</t>
  </si>
  <si>
    <r>
      <t>風労</t>
    </r>
    <r>
      <rPr>
        <sz val="11"/>
        <color theme="1"/>
        <rFont val="游ゴシック"/>
        <family val="3"/>
        <charset val="136"/>
        <scheme val="minor"/>
      </rPr>
      <t>臌</t>
    </r>
    <r>
      <rPr>
        <sz val="11"/>
        <color theme="1"/>
        <rFont val="游ゴシック"/>
        <family val="2"/>
        <charset val="128"/>
        <scheme val="minor"/>
      </rPr>
      <t>膈四大証治</t>
    </r>
  </si>
  <si>
    <t>虚損啓微</t>
  </si>
  <si>
    <t>痰火点雪</t>
  </si>
  <si>
    <t>增訂十薬神書</t>
  </si>
  <si>
    <t>理虚元鑑</t>
  </si>
  <si>
    <t>秘伝大麻瘋方</t>
  </si>
  <si>
    <t>葛可久十薬神書歌訣</t>
  </si>
  <si>
    <t>陰証略例</t>
  </si>
  <si>
    <t>脚気治法総要</t>
  </si>
  <si>
    <t>癲狂条弁</t>
  </si>
  <si>
    <t>内傷集要</t>
  </si>
  <si>
    <t>証治準縄·傷寒</t>
  </si>
  <si>
    <t>痢疾明弁</t>
  </si>
  <si>
    <t>脚気概論</t>
  </si>
  <si>
    <t>脚気鈎要</t>
  </si>
  <si>
    <t>婦産科</t>
  </si>
  <si>
    <t>傅青主女科_条列版</t>
  </si>
  <si>
    <t>済陰綱目</t>
  </si>
  <si>
    <t>済陰綱目_1</t>
  </si>
  <si>
    <t>医宗金鑑·婦科心法要訣</t>
  </si>
  <si>
    <t>家伝女科経験摘奇</t>
  </si>
  <si>
    <t>済生集</t>
  </si>
  <si>
    <t>内府秘伝経験女科</t>
  </si>
  <si>
    <t>竹林女科証治</t>
  </si>
  <si>
    <t>女科経綸</t>
  </si>
  <si>
    <t>女科経綸_1</t>
  </si>
  <si>
    <t>証治準縄·女科</t>
  </si>
  <si>
    <t>薛氏済陰万金書</t>
  </si>
  <si>
    <t>婦科百弁</t>
  </si>
  <si>
    <t>秘珍済陰</t>
  </si>
  <si>
    <t>彤園医書·婦人科</t>
  </si>
  <si>
    <t>金匱啓鑰·婦科</t>
  </si>
  <si>
    <t>万氏女科</t>
  </si>
  <si>
    <t>婦科氷鑑</t>
  </si>
  <si>
    <t>鄭氏家伝女科万金方</t>
  </si>
  <si>
    <t>経効産宝</t>
  </si>
  <si>
    <t>盤珠集胎産症治</t>
  </si>
  <si>
    <t>盤珠集胎産症治_1</t>
  </si>
  <si>
    <t>産鑑</t>
  </si>
  <si>
    <t>産後十八論</t>
  </si>
  <si>
    <t>銭氏秘伝産科方書名試験録</t>
  </si>
  <si>
    <t>胎産指南</t>
  </si>
  <si>
    <t>胎産指南_1</t>
  </si>
  <si>
    <t>胎産秘書</t>
  </si>
  <si>
    <t>衛生家宝産科備要</t>
  </si>
  <si>
    <t>産宝</t>
  </si>
  <si>
    <t>胎産心法</t>
  </si>
  <si>
    <t>産孕集</t>
  </si>
  <si>
    <t>重訂産孕集</t>
  </si>
  <si>
    <t>生生宝録</t>
  </si>
  <si>
    <t>産論</t>
  </si>
  <si>
    <t>胤産全書</t>
  </si>
  <si>
    <t>胎産証治</t>
  </si>
  <si>
    <t>産科発蒙</t>
  </si>
  <si>
    <t>産論翼</t>
  </si>
  <si>
    <t>高淑濂胎産方案</t>
  </si>
  <si>
    <t>済生産宝</t>
  </si>
  <si>
    <t>評註産科心法</t>
  </si>
  <si>
    <t>育麟験方</t>
  </si>
  <si>
    <t>広嗣要語</t>
  </si>
  <si>
    <t>広嗣紀要</t>
  </si>
  <si>
    <t>続增大生要旨</t>
  </si>
  <si>
    <t>産育宝慶方</t>
  </si>
  <si>
    <t>産宝諸方</t>
  </si>
  <si>
    <t>胎産新書</t>
  </si>
  <si>
    <t>幼科発揮</t>
  </si>
  <si>
    <t>児科要略</t>
  </si>
  <si>
    <t>幼科釈謎</t>
  </si>
  <si>
    <t>児科醒</t>
  </si>
  <si>
    <t>嬰児論</t>
  </si>
  <si>
    <t>幼科鉄鏡</t>
  </si>
  <si>
    <t>児科萃精</t>
  </si>
  <si>
    <t>小児衛生総微論方</t>
  </si>
  <si>
    <t>粥嬰提要説</t>
  </si>
  <si>
    <t>小児薬証直訣</t>
  </si>
  <si>
    <t>小児薬証直訣_1</t>
  </si>
  <si>
    <t>銭氏小児直訣</t>
  </si>
  <si>
    <t>顱顖経</t>
  </si>
  <si>
    <t>慈幼便覧</t>
  </si>
  <si>
    <t>医宗金鑑·幼科心法要訣</t>
  </si>
  <si>
    <t>保嬰金鏡録</t>
  </si>
  <si>
    <t>小児諸証補遺</t>
  </si>
  <si>
    <t>大医馬氏小児脈珍科</t>
  </si>
  <si>
    <t>幼科折衷秘伝真本</t>
  </si>
  <si>
    <t>証治準縄·幼科</t>
  </si>
  <si>
    <t>彤園医書·小児科</t>
  </si>
  <si>
    <t>金匱啓鑰·幼科</t>
  </si>
  <si>
    <t>幼科証治大全</t>
  </si>
  <si>
    <t>中国児科医鑑</t>
  </si>
  <si>
    <t>万氏秘伝片玉心書</t>
  </si>
  <si>
    <t>傅氏児科</t>
  </si>
  <si>
    <t>医宗金鑑·痘疹心法要訣</t>
  </si>
  <si>
    <t>専治麻痧初編</t>
  </si>
  <si>
    <t>経験麻科</t>
  </si>
  <si>
    <t>小児痘疹方論</t>
  </si>
  <si>
    <t>医宗金鑑·幼科種痘心法要旨</t>
  </si>
  <si>
    <t>陳氏小児痘疹方論</t>
  </si>
  <si>
    <t>新訂痘疹済世真詮</t>
  </si>
  <si>
    <t>麻疹専論</t>
  </si>
  <si>
    <t>痘治理弁</t>
  </si>
  <si>
    <t>小児推拿広意</t>
  </si>
  <si>
    <t>小児推拿方脈活嬰秘旨全書</t>
  </si>
  <si>
    <t>仁端録</t>
  </si>
  <si>
    <t>外科証治全書</t>
  </si>
  <si>
    <t>衛済宝書</t>
  </si>
  <si>
    <t>仙伝外科集験方</t>
  </si>
  <si>
    <t>外科集験方</t>
  </si>
  <si>
    <t>秘伝外科方</t>
  </si>
  <si>
    <t>外科伝薪集</t>
  </si>
  <si>
    <t>医宗金鑑·外科心法要訣</t>
  </si>
  <si>
    <t>外科医鏡</t>
  </si>
  <si>
    <t>瘍医大全</t>
  </si>
  <si>
    <t>万氏秘伝外科心法</t>
  </si>
  <si>
    <t>外科啓玄</t>
  </si>
  <si>
    <t>外科枢要</t>
  </si>
  <si>
    <t>外科証治秘要</t>
  </si>
  <si>
    <t>証治準縄·瘍医</t>
  </si>
  <si>
    <t>彤園医書·外科</t>
  </si>
  <si>
    <t>洞天奥旨</t>
  </si>
  <si>
    <t>外科学話義</t>
  </si>
  <si>
    <t>新刻図形枕蔵外科</t>
  </si>
  <si>
    <t>解囲元薮</t>
  </si>
  <si>
    <t>瘍科捷径</t>
  </si>
  <si>
    <t>集験背疽方</t>
  </si>
  <si>
    <t>立斎外科発揮</t>
  </si>
  <si>
    <t>発背対口治訣論</t>
  </si>
  <si>
    <t>癰疽神秘験方</t>
  </si>
  <si>
    <t>疝気証治論</t>
  </si>
  <si>
    <t>秘伝劉伯温家蔵接骨金瘡禁方</t>
  </si>
  <si>
    <t>金瘡秘伝禁方</t>
  </si>
  <si>
    <t>傷科大成_条列版</t>
  </si>
  <si>
    <t>江氏傷科学</t>
  </si>
  <si>
    <t>少林真伝傷科秘方</t>
  </si>
  <si>
    <t>金瘡跌打接骨薬性秘書</t>
  </si>
  <si>
    <t>医宗金鑑·正骨心法要旨</t>
  </si>
  <si>
    <t>正体類要</t>
  </si>
  <si>
    <t>中国接骨図説</t>
  </si>
  <si>
    <t>原機啓微</t>
  </si>
  <si>
    <t>明目至宝</t>
  </si>
  <si>
    <t>秘伝眼科龍木論</t>
  </si>
  <si>
    <t>目経大成</t>
  </si>
  <si>
    <t>医宗金鑑·眼科心法要訣</t>
  </si>
  <si>
    <t>金匱啓鑰·眼科</t>
  </si>
  <si>
    <t>重楼玉鑰</t>
  </si>
  <si>
    <t>重楼玉鑰続編</t>
  </si>
  <si>
    <t>白喉条弁</t>
  </si>
  <si>
    <t>包氏喉証家宝</t>
  </si>
  <si>
    <t>咽喉脈証通論</t>
  </si>
  <si>
    <t>白喉弁証</t>
  </si>
  <si>
    <t>咳論経旨</t>
  </si>
  <si>
    <t>口歯科</t>
  </si>
  <si>
    <t>口歯類要</t>
  </si>
  <si>
    <t>祝由科諸符秘</t>
  </si>
  <si>
    <t>資福等斉天医十三科治病一宗</t>
  </si>
  <si>
    <t>寿世伝真</t>
  </si>
  <si>
    <t>修崑崙証験</t>
  </si>
  <si>
    <t>寿世青編</t>
  </si>
  <si>
    <t>三元参賛延寿書</t>
  </si>
  <si>
    <t>摂生集覧</t>
  </si>
  <si>
    <t>摂生要義</t>
  </si>
  <si>
    <t>寿親養老書</t>
  </si>
  <si>
    <t>寿世編</t>
  </si>
  <si>
    <t>香匳潤色</t>
  </si>
  <si>
    <t>心印紺珠経</t>
  </si>
  <si>
    <t>養生月覧</t>
  </si>
  <si>
    <t>医学権輿</t>
  </si>
  <si>
    <t>軒轅黄帝治病秘法</t>
  </si>
  <si>
    <t>摂養枕中方</t>
  </si>
  <si>
    <t>福寿丹書</t>
  </si>
  <si>
    <t>寿親養老新書</t>
  </si>
  <si>
    <t>安老懐幼書</t>
  </si>
  <si>
    <t>導引気功</t>
  </si>
  <si>
    <t>巣氏病源補養宣導法</t>
  </si>
  <si>
    <t>達摩洗髄易筋経</t>
  </si>
  <si>
    <t>薬膳食療</t>
  </si>
  <si>
    <t>随息居飲食譜</t>
  </si>
  <si>
    <t>調疾飲食弁</t>
  </si>
  <si>
    <t>急救広生集</t>
  </si>
  <si>
    <t>医案類</t>
  </si>
  <si>
    <t>北山医案</t>
  </si>
  <si>
    <t>先哲医話</t>
  </si>
  <si>
    <t>呉鞠通医案</t>
  </si>
  <si>
    <t>呉鞠通医案_1</t>
  </si>
  <si>
    <t>邵蘭蓀医案</t>
  </si>
  <si>
    <t>何澹安医案</t>
  </si>
  <si>
    <t>張聿青医案</t>
  </si>
  <si>
    <t>叢桂草堂医案</t>
  </si>
  <si>
    <t>未刻本葉氏医案</t>
  </si>
  <si>
    <t>臨証指南医案</t>
  </si>
  <si>
    <t>臨証指南医案_1</t>
  </si>
  <si>
    <t>王旭高臨証医案</t>
  </si>
  <si>
    <t>徐批葉天士晩年方案真本</t>
  </si>
  <si>
    <t>許氏医案 ****</t>
  </si>
  <si>
    <t>許氏医案_1</t>
  </si>
  <si>
    <t>馬培之医案</t>
  </si>
  <si>
    <t>孫文垣医案</t>
  </si>
  <si>
    <t>続名医類案</t>
  </si>
  <si>
    <t>続名医類案（四庫本）</t>
  </si>
  <si>
    <t>程杏軒医案</t>
  </si>
  <si>
    <t>三家医案合刻</t>
  </si>
  <si>
    <t>柳選四家医案</t>
  </si>
  <si>
    <t>增補評注柳選医案</t>
  </si>
  <si>
    <t>眉寿堂方案選存</t>
  </si>
  <si>
    <t>丁甘仁医案</t>
  </si>
  <si>
    <t>曹仁伯医案論</t>
  </si>
  <si>
    <t>張畹香医案</t>
  </si>
  <si>
    <t>葉天士医案精華</t>
  </si>
  <si>
    <t>也是山人医案</t>
  </si>
  <si>
    <t>花韻楼医案</t>
  </si>
  <si>
    <t>診餘挙隅録</t>
  </si>
  <si>
    <t>医権初編</t>
  </si>
  <si>
    <t>素圃医案</t>
  </si>
  <si>
    <t>沈氏医案</t>
  </si>
  <si>
    <t>邵氏医案</t>
  </si>
  <si>
    <t>掃葉荘医案</t>
  </si>
  <si>
    <t>青霞医案</t>
  </si>
  <si>
    <t>龍砂八家医案</t>
  </si>
  <si>
    <t>黄澹翁医案</t>
  </si>
  <si>
    <t>環渓草堂医案</t>
  </si>
  <si>
    <t>得心集医案</t>
  </si>
  <si>
    <t>鄒亦仲医案新編</t>
  </si>
  <si>
    <t>瘍科指南医案</t>
  </si>
  <si>
    <t>愛月廬医案</t>
  </si>
  <si>
    <t>竹亭医案</t>
  </si>
  <si>
    <t>剣慧草堂医案</t>
  </si>
  <si>
    <t>孤鶴医案</t>
  </si>
  <si>
    <t>幼科医験</t>
  </si>
  <si>
    <t>顧氏医案</t>
  </si>
  <si>
    <t>費縄甫先生医案</t>
  </si>
  <si>
    <t>沈兪医案合鈔</t>
  </si>
  <si>
    <t>陳蓮舫医案</t>
  </si>
  <si>
    <t>退庵医案</t>
  </si>
  <si>
    <t>旌孝堂医案</t>
  </si>
  <si>
    <t>江沢之医案</t>
  </si>
  <si>
    <t>王応震要訣</t>
  </si>
  <si>
    <t>臨症経応録</t>
  </si>
  <si>
    <t>王仲奇医案</t>
  </si>
  <si>
    <t>李冠仙医案</t>
  </si>
  <si>
    <t>沈菊人医案</t>
  </si>
  <si>
    <t>葉天士曹仁伯何元長医案</t>
  </si>
  <si>
    <t>臨診医案</t>
  </si>
  <si>
    <t>汪藝香先生医案</t>
  </si>
  <si>
    <t>慎五堂治験録</t>
  </si>
  <si>
    <t>遯園医案</t>
  </si>
  <si>
    <t>曹仁伯医案</t>
  </si>
  <si>
    <t>経方実験録 ***</t>
  </si>
  <si>
    <t>古今医案按</t>
  </si>
  <si>
    <t>古今医案按選</t>
  </si>
  <si>
    <t>繆松心医案</t>
  </si>
  <si>
    <t>斉氏医案</t>
  </si>
  <si>
    <t>松心医案筆記</t>
  </si>
  <si>
    <t>王九峰医案（一）</t>
  </si>
  <si>
    <t>王九峰医案（二）</t>
  </si>
  <si>
    <t>王孟英医案</t>
  </si>
  <si>
    <t>葉氏医案存真</t>
  </si>
  <si>
    <t>葉天士医案</t>
  </si>
  <si>
    <t>里中医案</t>
  </si>
  <si>
    <t>薛案弁疏</t>
  </si>
  <si>
    <t>王氏医案</t>
  </si>
  <si>
    <t>王氏医案続編</t>
  </si>
  <si>
    <t>王氏医案三編</t>
  </si>
  <si>
    <t>王氏医案繹註</t>
  </si>
  <si>
    <t>洄渓医案</t>
  </si>
  <si>
    <t>洄渓医案按</t>
  </si>
  <si>
    <t>石山医案</t>
  </si>
  <si>
    <t>弁証奇聞</t>
  </si>
  <si>
    <t>静香楼医案</t>
  </si>
  <si>
    <t>孫氏医案</t>
  </si>
  <si>
    <t>千里医案</t>
  </si>
  <si>
    <t>崇実堂医案</t>
  </si>
  <si>
    <t>徐渡漁先生医案</t>
  </si>
  <si>
    <t>旧徳堂医案</t>
  </si>
  <si>
    <t>全国名医験案類編</t>
  </si>
  <si>
    <t>医験大成</t>
  </si>
  <si>
    <t>曹滄洲医案</t>
  </si>
  <si>
    <t>酔花窓医案</t>
  </si>
  <si>
    <t>一瓢医案</t>
  </si>
  <si>
    <t>湖岳村叟医案</t>
  </si>
  <si>
    <t>余無言医案</t>
  </si>
  <si>
    <t>医論医話随筆類</t>
  </si>
  <si>
    <t>藤氏医談</t>
  </si>
  <si>
    <t>局方発揮</t>
  </si>
  <si>
    <t>柳洲医話</t>
  </si>
  <si>
    <r>
      <t>馤</t>
    </r>
    <r>
      <rPr>
        <sz val="11"/>
        <color theme="1"/>
        <rFont val="游ゴシック"/>
        <family val="2"/>
        <charset val="128"/>
        <scheme val="minor"/>
      </rPr>
      <t>塘医話</t>
    </r>
  </si>
  <si>
    <t>冷廬医話</t>
  </si>
  <si>
    <t>葉選医衡</t>
  </si>
  <si>
    <t>友漁斎医話</t>
  </si>
  <si>
    <t>肯堂医論</t>
  </si>
  <si>
    <t>回春録</t>
  </si>
  <si>
    <t>客塵医話</t>
  </si>
  <si>
    <t>医学源流論</t>
  </si>
  <si>
    <t>医学源流論_条列版</t>
  </si>
  <si>
    <t>対山医話</t>
  </si>
  <si>
    <t>研経言</t>
  </si>
  <si>
    <t>医原</t>
  </si>
  <si>
    <t>質疑録</t>
  </si>
  <si>
    <t>呉医彙講</t>
  </si>
  <si>
    <t>侶山堂類弁</t>
  </si>
  <si>
    <t>医医医</t>
  </si>
  <si>
    <t>上池雑説</t>
  </si>
  <si>
    <t>帰硯録</t>
  </si>
  <si>
    <t>医経遡洄集</t>
  </si>
  <si>
    <t>存存斎医話稿</t>
  </si>
  <si>
    <t>医説</t>
  </si>
  <si>
    <t>続医説</t>
  </si>
  <si>
    <t>医旨緒餘</t>
  </si>
  <si>
    <t>心医集</t>
  </si>
  <si>
    <t>柳宝詒医論医案</t>
  </si>
  <si>
    <t>先醒斎医学広筆記</t>
  </si>
  <si>
    <t>医家心法</t>
  </si>
  <si>
    <t>医門棒喝</t>
  </si>
  <si>
    <t>古書医言</t>
  </si>
  <si>
    <t>先哲医話集</t>
  </si>
  <si>
    <t>医砭</t>
  </si>
  <si>
    <t>言医選評</t>
  </si>
  <si>
    <t>医医病書</t>
  </si>
  <si>
    <t>医学原理</t>
  </si>
  <si>
    <t>医鏡</t>
  </si>
  <si>
    <t>医弁</t>
  </si>
  <si>
    <t>欝岡斎医学筆塵</t>
  </si>
  <si>
    <t>医学窮源集</t>
  </si>
  <si>
    <t>医易通説</t>
  </si>
  <si>
    <t>医貫砭</t>
  </si>
  <si>
    <t>西渓書屋夜話録</t>
  </si>
  <si>
    <t>医餘</t>
  </si>
  <si>
    <t>医賸</t>
  </si>
  <si>
    <t>医断与斥医断</t>
  </si>
  <si>
    <t>生生堂治験</t>
  </si>
  <si>
    <t>建殊録</t>
  </si>
  <si>
    <t>毛対山医話</t>
  </si>
  <si>
    <t>医林瑣語</t>
  </si>
  <si>
    <t>医粋精言</t>
  </si>
  <si>
    <t>存粋医話</t>
  </si>
  <si>
    <t>客窓偶談</t>
  </si>
  <si>
    <t>願体医話</t>
  </si>
  <si>
    <t>慈済医話</t>
  </si>
  <si>
    <t>懶園医語</t>
  </si>
  <si>
    <t>折肱漫録</t>
  </si>
  <si>
    <t>景景医話</t>
  </si>
  <si>
    <t>景景室医稿雑存</t>
  </si>
  <si>
    <t>留香館医話</t>
  </si>
  <si>
    <t>素軒医語</t>
  </si>
  <si>
    <t>裴子言医</t>
  </si>
  <si>
    <t>覚廬医話録存</t>
  </si>
  <si>
    <t>谷蓀医話</t>
  </si>
  <si>
    <t>郎中医話</t>
  </si>
  <si>
    <t>金台医案</t>
  </si>
  <si>
    <t>靖庵説医</t>
  </si>
  <si>
    <t>黄氏医話</t>
  </si>
  <si>
    <t>医学伝心録</t>
  </si>
  <si>
    <t>医医十病</t>
  </si>
  <si>
    <t>士諤医話</t>
  </si>
  <si>
    <t>止園医話 ***</t>
  </si>
  <si>
    <t>読医随筆</t>
  </si>
  <si>
    <t>知医必弁</t>
  </si>
  <si>
    <t>市隠廬医学雑著</t>
  </si>
  <si>
    <t>医学読書記</t>
  </si>
  <si>
    <t>医暇卮言</t>
  </si>
  <si>
    <t>重慶堂随筆</t>
  </si>
  <si>
    <t>医学課児策</t>
  </si>
  <si>
    <t>医医小草</t>
  </si>
  <si>
    <t>蠢子医</t>
  </si>
  <si>
    <t>王楽亭指要</t>
  </si>
  <si>
    <t>寿山筆記</t>
  </si>
  <si>
    <t>瘦吟医贅</t>
  </si>
  <si>
    <t>医学読書志</t>
  </si>
  <si>
    <t>乗桴医影</t>
  </si>
  <si>
    <t>綜合医書類</t>
  </si>
  <si>
    <t>医貫</t>
  </si>
  <si>
    <t>全体病源類纂</t>
  </si>
  <si>
    <t>周慎斎遺書</t>
  </si>
  <si>
    <t>韓氏医通</t>
  </si>
  <si>
    <t>医学挙要</t>
  </si>
  <si>
    <t>医門法律</t>
  </si>
  <si>
    <t>医林改錯</t>
  </si>
  <si>
    <t>医林改錯_1</t>
  </si>
  <si>
    <t>筆花医鏡</t>
  </si>
  <si>
    <t>脈因証治</t>
  </si>
  <si>
    <t>華氏中蔵経</t>
  </si>
  <si>
    <t>証治彙補</t>
  </si>
  <si>
    <t>傅青主男科重編考釈</t>
  </si>
  <si>
    <t>金匱鈎玄</t>
  </si>
  <si>
    <t>金匱鈎玄_1</t>
  </si>
  <si>
    <t>丹渓心法</t>
  </si>
  <si>
    <t>丹渓心法_1</t>
  </si>
  <si>
    <t>丹渓心法附餘</t>
  </si>
  <si>
    <t>医方集宜</t>
  </si>
  <si>
    <t>方症会要</t>
  </si>
  <si>
    <t>医学芻言</t>
  </si>
  <si>
    <t>平治会萃</t>
  </si>
  <si>
    <t>一見能医</t>
  </si>
  <si>
    <t>考証病源</t>
  </si>
  <si>
    <t>丹渓治法心要</t>
  </si>
  <si>
    <t>陸地仙経</t>
  </si>
  <si>
    <t>寿世保元</t>
  </si>
  <si>
    <t>薬性歌括_1</t>
  </si>
  <si>
    <t>古今医統大全</t>
  </si>
  <si>
    <t>松崖医径</t>
  </si>
  <si>
    <t>医塁元戎</t>
  </si>
  <si>
    <t>医門補要</t>
  </si>
  <si>
    <t>古今医鑑</t>
  </si>
  <si>
    <t>古今医鑑（初刊本）</t>
  </si>
  <si>
    <t>万病回春</t>
  </si>
  <si>
    <t>明医雑著</t>
  </si>
  <si>
    <t>医学発明</t>
  </si>
  <si>
    <t>丹渓手鏡</t>
  </si>
  <si>
    <t>張氏医通</t>
  </si>
  <si>
    <t>張氏医通_1</t>
  </si>
  <si>
    <t>丹台玉案</t>
  </si>
  <si>
    <t>医学実在易</t>
  </si>
  <si>
    <t>古今医徹</t>
  </si>
  <si>
    <t>医学心悟</t>
  </si>
  <si>
    <t>校注医醇賸義</t>
  </si>
  <si>
    <t>医学指帰</t>
  </si>
  <si>
    <t>医経小学</t>
  </si>
  <si>
    <t>衛生宝鑑</t>
  </si>
  <si>
    <t>明医指掌</t>
  </si>
  <si>
    <t>三因極一病証方論</t>
  </si>
  <si>
    <t>簡明医彀</t>
  </si>
  <si>
    <t>石室秘録</t>
  </si>
  <si>
    <t>医述</t>
  </si>
  <si>
    <t>医学三字経</t>
  </si>
  <si>
    <t>医学真伝</t>
  </si>
  <si>
    <t>類証治裁</t>
  </si>
  <si>
    <t>類証治裁_1</t>
  </si>
  <si>
    <t>蘭室秘蔵</t>
  </si>
  <si>
    <t>蘭室秘蔵_1</t>
  </si>
  <si>
    <t>医学見能</t>
  </si>
  <si>
    <t>雑病源流犀燭</t>
  </si>
  <si>
    <t>医医偶録</t>
  </si>
  <si>
    <t>医宗己任編</t>
  </si>
  <si>
    <t>秘伝証治要訣及類方</t>
  </si>
  <si>
    <t>医学摘粋</t>
  </si>
  <si>
    <t>馮氏錦囊秘録</t>
  </si>
  <si>
    <t>医学衷中参西録</t>
  </si>
  <si>
    <t>医学入門</t>
  </si>
  <si>
    <t>医学綱目</t>
  </si>
  <si>
    <t>羅氏会約医鏡</t>
  </si>
  <si>
    <t>顧松園医鏡</t>
  </si>
  <si>
    <t>弁証録</t>
  </si>
  <si>
    <t>弁証録_1</t>
  </si>
  <si>
    <t>医法円通</t>
  </si>
  <si>
    <t>医宗説約</t>
  </si>
  <si>
    <t>景岳全書発揮</t>
  </si>
  <si>
    <t>医宗必読</t>
  </si>
  <si>
    <t>済世全書</t>
  </si>
  <si>
    <t>蘭台軌範</t>
  </si>
  <si>
    <t>大医精誠_1</t>
  </si>
  <si>
    <t>外台秘要</t>
  </si>
  <si>
    <t>外台秘要_1</t>
  </si>
  <si>
    <t>医心方</t>
  </si>
  <si>
    <t>鱠残篇</t>
  </si>
  <si>
    <t>長沙証彙</t>
  </si>
  <si>
    <t>医学三信編</t>
  </si>
  <si>
    <t>医学研悅</t>
  </si>
  <si>
    <t>医中一得</t>
  </si>
  <si>
    <t>医学集成</t>
  </si>
  <si>
    <t>医学体用</t>
  </si>
  <si>
    <t>医学説約</t>
  </si>
  <si>
    <t>医学輯要</t>
  </si>
  <si>
    <t>医易一理</t>
  </si>
  <si>
    <t>医津一筏</t>
  </si>
  <si>
    <t>医病簡要</t>
  </si>
  <si>
    <t>医経秘旨</t>
  </si>
  <si>
    <t>敺蠱燃犀録</t>
  </si>
  <si>
    <t>類証普済本事方続集</t>
  </si>
  <si>
    <t>経歴雑論</t>
  </si>
  <si>
    <t>過庭録存</t>
  </si>
  <si>
    <t>医学心悟雑症要義</t>
  </si>
  <si>
    <t>円運動的古中医学</t>
  </si>
  <si>
    <t>簡明中西匯参医学図説</t>
  </si>
  <si>
    <t>臓腑証治図説人鏡経</t>
  </si>
  <si>
    <t>玄門脈訣内照図</t>
  </si>
  <si>
    <t>東垣試効方</t>
  </si>
  <si>
    <t>医経会解</t>
  </si>
  <si>
    <t>医経大旨</t>
  </si>
  <si>
    <t>医師秘笈</t>
  </si>
  <si>
    <t>医学要則</t>
  </si>
  <si>
    <t>新刻華佗内照図</t>
  </si>
  <si>
    <t>新刊医学集成</t>
  </si>
  <si>
    <t>奇効医述</t>
  </si>
  <si>
    <t>医史考釈類</t>
  </si>
  <si>
    <t>医学啓源</t>
  </si>
  <si>
    <t>古今名医彙粋</t>
  </si>
  <si>
    <t>中国医籍考</t>
  </si>
  <si>
    <t>医事啓源</t>
  </si>
  <si>
    <t>中国医学源流論</t>
  </si>
  <si>
    <t>皇国名医伝</t>
  </si>
  <si>
    <t>易経</t>
  </si>
  <si>
    <t>洗冤集録</t>
  </si>
  <si>
    <t>太医局諸科程文格</t>
  </si>
  <si>
    <t>薛氏医案</t>
  </si>
  <si>
    <t>保嬰粋要</t>
  </si>
  <si>
    <t>証治準縄</t>
  </si>
  <si>
    <t>証治準縄·傷寒_1</t>
  </si>
  <si>
    <t>証治準縄·女科_1</t>
  </si>
  <si>
    <t>医宗金鑑</t>
  </si>
  <si>
    <t>医宗金鑑_1</t>
  </si>
  <si>
    <t>医宗金鑑_2·訂正仲景全書</t>
  </si>
  <si>
    <t>医宗金鑑_条列版</t>
  </si>
  <si>
    <t>医宗金鑑_条列版·訂正仲景全書傷寒論註</t>
  </si>
  <si>
    <t>医宗金鑑_条列版·訂正仲景全書金匱要略註</t>
  </si>
  <si>
    <t>医宗金鑑_条列版·刪補名医方論</t>
  </si>
  <si>
    <t>医宗金鑑_条列版·雑病心法</t>
  </si>
  <si>
    <t>医宗金鑑_条列版·婦科心法要訣</t>
  </si>
  <si>
    <t>医宗金鑑_条列版·幼科雑病心法</t>
  </si>
  <si>
    <t>医宗金鑑_条列版·痘疹心法要訣</t>
  </si>
  <si>
    <t>医宗金鑑_条列版·眼科心法</t>
  </si>
  <si>
    <t>医宗金鑑_条列版·刺灸心法要訣</t>
  </si>
  <si>
    <t>医宗金鑑_条列版·正骨心法要旨</t>
  </si>
  <si>
    <t>彤園医書</t>
  </si>
  <si>
    <t>金匱啓鑰</t>
  </si>
  <si>
    <t>皇漢医学叢書</t>
  </si>
  <si>
    <t>産科</t>
    <rPh sb="0" eb="2">
      <t>サンカ</t>
    </rPh>
    <phoneticPr fontId="1"/>
  </si>
  <si>
    <t>重広補注黄帝内経素問 ****</t>
    <phoneticPr fontId="1"/>
  </si>
  <si>
    <t>年代</t>
    <rPh sb="0" eb="2">
      <t>ネンダイ</t>
    </rPh>
    <phoneticPr fontId="1"/>
  </si>
  <si>
    <t>書名（常用漢字）</t>
    <rPh sb="0" eb="2">
      <t>ショメイ</t>
    </rPh>
    <rPh sb="3" eb="5">
      <t>ジョウヨウ</t>
    </rPh>
    <rPh sb="5" eb="7">
      <t>カンジ</t>
    </rPh>
    <phoneticPr fontId="1"/>
  </si>
  <si>
    <t>書名（繁体字）</t>
    <rPh sb="0" eb="2">
      <t>ショメイ</t>
    </rPh>
    <rPh sb="3" eb="6">
      <t>ハンタイジ</t>
    </rPh>
    <phoneticPr fontId="1"/>
  </si>
  <si>
    <t>リンク</t>
    <phoneticPr fontId="1"/>
  </si>
  <si>
    <t>傷寒雑病論（桂林古本） ****</t>
    <phoneticPr fontId="1"/>
  </si>
  <si>
    <t>日本本草</t>
    <rPh sb="0" eb="2">
      <t>ニホン</t>
    </rPh>
    <phoneticPr fontId="1"/>
  </si>
  <si>
    <t>日本医方</t>
    <rPh sb="0" eb="2">
      <t>ニホン</t>
    </rPh>
    <phoneticPr fontId="1"/>
  </si>
  <si>
    <t>小児科</t>
    <rPh sb="0" eb="2">
      <t>ショウニ</t>
    </rPh>
    <phoneticPr fontId="1"/>
  </si>
  <si>
    <t>日本医学史　＊中国医薬論文集</t>
    <phoneticPr fontId="1"/>
  </si>
  <si>
    <t>呉普</t>
  </si>
  <si>
    <t>南朝·梁</t>
  </si>
  <si>
    <t>陶弘景</t>
  </si>
  <si>
    <t>蘇敬等</t>
  </si>
  <si>
    <t>唐</t>
  </si>
  <si>
    <t>李珣</t>
  </si>
  <si>
    <t>五代</t>
  </si>
  <si>
    <t>宋</t>
  </si>
  <si>
    <t>蘇頌</t>
  </si>
  <si>
    <t>寇宗奭</t>
  </si>
  <si>
    <t>王好古</t>
  </si>
  <si>
    <t>元</t>
  </si>
  <si>
    <t>李時珍</t>
  </si>
  <si>
    <t>盧之頤</t>
  </si>
  <si>
    <t>明</t>
  </si>
  <si>
    <t>李中梓</t>
  </si>
  <si>
    <t>清</t>
  </si>
  <si>
    <t>鄒澍</t>
  </si>
  <si>
    <t>深江輔仁</t>
  </si>
  <si>
    <t>日本医学史　＊中国医薬論文集</t>
    <rPh sb="0" eb="5">
      <t>ニホンイガクシ</t>
    </rPh>
    <phoneticPr fontId="1"/>
  </si>
  <si>
    <t>張介賓</t>
  </si>
  <si>
    <t>朱橚</t>
  </si>
  <si>
    <t>醫宗金鑑·刺灸心法要訣</t>
    <phoneticPr fontId="1"/>
  </si>
  <si>
    <t>呉謙等</t>
    <rPh sb="0" eb="1">
      <t>クレ</t>
    </rPh>
    <phoneticPr fontId="1"/>
  </si>
  <si>
    <t>医宗金鑑·刺灸心法要訣</t>
    <phoneticPr fontId="1"/>
  </si>
  <si>
    <t>醫宗金鑑·四診心法要訣</t>
    <phoneticPr fontId="1"/>
  </si>
  <si>
    <t>https://jicheng.tw/tcm/book/%E9%86%AB%E5%AE%97%E9%87%91%E9%91%91/%E8%A8%82%E6%AD%A3%E4%BB%B2%E6%99%AF%E5%85%A8%E6%9B%B8%E5%82%B7%E5%AF%92%E8%AB%96%E8%A8%BB/index.html</t>
    <phoneticPr fontId="1"/>
  </si>
  <si>
    <t>彤園醫書·小兒科</t>
    <phoneticPr fontId="1"/>
  </si>
  <si>
    <t>https://jicheng.tw/tcm/book/%E9%87%91%E5%8C%B1%E5%95%9F%E9%91%B0/%E5%B9%BC%E7%A7%91/index.html</t>
    <phoneticPr fontId="1"/>
  </si>
  <si>
    <t>https://jicheng.tw/tcm/book/%E9%87%91%E5%8C%B1%E5%95%9F%E9%91%B0/%E7%9C%BC%E7%A7%91/index.html</t>
    <phoneticPr fontId="1"/>
  </si>
  <si>
    <t>徐大椿</t>
  </si>
  <si>
    <t>丹波元簡</t>
  </si>
  <si>
    <t>鍼灸学綱要　＊鍼灸則のこと</t>
    <rPh sb="7" eb="9">
      <t>ハ</t>
    </rPh>
    <rPh sb="9" eb="10">
      <t>ソク</t>
    </rPh>
    <phoneticPr fontId="1"/>
  </si>
  <si>
    <t>吉益爲則</t>
  </si>
  <si>
    <t>呉崑</t>
    <rPh sb="0" eb="2">
      <t>ゴコン</t>
    </rPh>
    <phoneticPr fontId="1"/>
  </si>
  <si>
    <t>佚名，清·孫星衍、孫馮翼輯</t>
  </si>
  <si>
    <t>秦漢</t>
  </si>
  <si>
    <t>滑壽</t>
  </si>
  <si>
    <t>崔嘉彥</t>
  </si>
  <si>
    <t>元‧戴起宗撰，明‧汪機補訂</t>
  </si>
  <si>
    <t>施発</t>
    <rPh sb="1" eb="2">
      <t>ハツ</t>
    </rPh>
    <phoneticPr fontId="1"/>
  </si>
  <si>
    <t>李駉</t>
  </si>
  <si>
    <t>黃玉璐</t>
  </si>
  <si>
    <t>黄玉璐</t>
    <rPh sb="0" eb="2">
      <t>オウギョク</t>
    </rPh>
    <phoneticPr fontId="1"/>
  </si>
  <si>
    <t>王九思</t>
  </si>
  <si>
    <t>丁錦</t>
  </si>
  <si>
    <t>葉霖</t>
  </si>
  <si>
    <t>陸懋修</t>
  </si>
  <si>
    <t>楊上善</t>
  </si>
  <si>
    <t>周學海</t>
  </si>
  <si>
    <t>周学海</t>
    <rPh sb="1" eb="2">
      <t>ガク</t>
    </rPh>
    <phoneticPr fontId="1"/>
  </si>
  <si>
    <t>馬蒔</t>
  </si>
  <si>
    <t>俞樾</t>
  </si>
  <si>
    <t>汪昂</t>
  </si>
  <si>
    <t>史崧</t>
  </si>
  <si>
    <t>胡文渙</t>
  </si>
  <si>
    <t>張志聰</t>
  </si>
  <si>
    <t>胡澍</t>
  </si>
  <si>
    <t>姚紹虞</t>
  </si>
  <si>
    <t>高士宗</t>
  </si>
  <si>
    <t>劉完素</t>
  </si>
  <si>
    <t>張璐</t>
  </si>
  <si>
    <t>胡文煥</t>
  </si>
  <si>
    <t>陳念祖</t>
  </si>
  <si>
    <t>繆希雍</t>
  </si>
  <si>
    <t>費伯雄</t>
  </si>
  <si>
    <t>劉文泰等</t>
  </si>
  <si>
    <t>唐慎微</t>
  </si>
  <si>
    <t>孟詵撰，張鼎增補改編</t>
  </si>
  <si>
    <t>王叔和</t>
  </si>
  <si>
    <t>王冰</t>
  </si>
  <si>
    <t>王旭高</t>
  </si>
  <si>
    <t>玄輿中野</t>
  </si>
  <si>
    <t>劉溫舒</t>
  </si>
  <si>
    <t>章楠</t>
  </si>
  <si>
    <t>薛雪</t>
  </si>
  <si>
    <t>張驥</t>
  </si>
  <si>
    <t>沈又彭</t>
  </si>
  <si>
    <t>唐宗海</t>
  </si>
  <si>
    <t>羅美</t>
  </si>
  <si>
    <t>汪石山</t>
  </si>
  <si>
    <t>陳士鐸</t>
  </si>
  <si>
    <t>黃宮繡</t>
  </si>
  <si>
    <t>沈文彬</t>
  </si>
  <si>
    <t>張壽頤</t>
  </si>
  <si>
    <t>吳謙等</t>
  </si>
  <si>
    <t>https://jicheng.tw/tcm/book/%E6%A0%A1%E8%A8%BB%E5%A9%A6%E4%BA%BA%E8%89%AF%E6%96%B9/index.html</t>
    <phoneticPr fontId="1"/>
  </si>
  <si>
    <t>正統道藏·黃帝内經靈樞略</t>
  </si>
  <si>
    <t>馬王堆簡帛( 十問, 合陰陽, 天下至道談, 胎產書, 雜禁方, 養生方, 卻穀食氣, 導引圖)</t>
    <phoneticPr fontId="1"/>
  </si>
  <si>
    <t>潘楫</t>
  </si>
  <si>
    <t>林之瀚</t>
  </si>
  <si>
    <t>蔡貽績</t>
  </si>
  <si>
    <t>汪必昌</t>
  </si>
  <si>
    <t>張文藻</t>
  </si>
  <si>
    <t>袁班</t>
  </si>
  <si>
    <t>黃韞兮</t>
  </si>
  <si>
    <t>自《瀕湖脈學》各章節摘錄整理</t>
  </si>
  <si>
    <t>王邦博</t>
  </si>
  <si>
    <t>張太素</t>
  </si>
  <si>
    <t>李延是</t>
  </si>
  <si>
    <t>周學霆</t>
  </si>
  <si>
    <t>沈金鰲</t>
  </si>
  <si>
    <t>孫鼎宜</t>
  </si>
  <si>
    <t>劉本昌</t>
  </si>
  <si>
    <t>常朝宜</t>
  </si>
  <si>
    <t>王宦</t>
  </si>
  <si>
    <t>王賢</t>
  </si>
  <si>
    <t>吳昆</t>
  </si>
  <si>
    <t>劉吉人</t>
  </si>
  <si>
    <t>田宗漢</t>
  </si>
  <si>
    <t>管玉衡</t>
  </si>
  <si>
    <t>楊士瀛</t>
  </si>
  <si>
    <t>南宋</t>
    <rPh sb="0" eb="2">
      <t>ナンソウ</t>
    </rPh>
    <phoneticPr fontId="1"/>
  </si>
  <si>
    <t>熊宗立</t>
  </si>
  <si>
    <t>吳洪</t>
  </si>
  <si>
    <t>張世賢</t>
  </si>
  <si>
    <t>汪宏</t>
  </si>
  <si>
    <t>杜本</t>
  </si>
  <si>
    <t>楊雲峰</t>
  </si>
  <si>
    <t>劉恆瑞</t>
  </si>
  <si>
    <t>張登</t>
  </si>
  <si>
    <t>曹炳章</t>
  </si>
  <si>
    <t>佚名，陶弘景輯錄</t>
  </si>
  <si>
    <t>趙學敏</t>
  </si>
  <si>
    <t>晉</t>
  </si>
  <si>
    <t>医経国小　×　→　医経小学のこと</t>
    <rPh sb="9" eb="13">
      <t>イケイショウガク</t>
    </rPh>
    <phoneticPr fontId="1"/>
  </si>
  <si>
    <t>多紀元昕手校本（国立公文書館掃描本）</t>
  </si>
  <si>
    <t>大分類</t>
  </si>
  <si>
    <t>大分類</t>
    <rPh sb="0" eb="3">
      <t>ダイブンルイ</t>
    </rPh>
    <phoneticPr fontId="1"/>
  </si>
  <si>
    <t>中分類</t>
  </si>
  <si>
    <t>中分類</t>
    <rPh sb="0" eb="1">
      <t>チュウ</t>
    </rPh>
    <rPh sb="1" eb="3">
      <t>ブンルイ</t>
    </rPh>
    <phoneticPr fontId="1"/>
  </si>
  <si>
    <t>小分類</t>
    <rPh sb="0" eb="3">
      <t>ショウブンルイ</t>
    </rPh>
    <phoneticPr fontId="1"/>
  </si>
  <si>
    <t>醫論醫話隨筆類</t>
    <phoneticPr fontId="1"/>
  </si>
  <si>
    <t>金匱</t>
    <phoneticPr fontId="1"/>
  </si>
  <si>
    <t>備考</t>
    <rPh sb="0" eb="2">
      <t>ビコウ</t>
    </rPh>
    <phoneticPr fontId="1"/>
  </si>
  <si>
    <t>小児科</t>
  </si>
  <si>
    <t>(空白)</t>
  </si>
  <si>
    <t>日本医方</t>
  </si>
  <si>
    <t>産科</t>
  </si>
  <si>
    <t>日本本草</t>
  </si>
  <si>
    <t>データの個数 / 大分類</t>
  </si>
  <si>
    <t>960-1279</t>
    <phoneticPr fontId="1"/>
  </si>
  <si>
    <t>丹波元堅</t>
    <phoneticPr fontId="1"/>
  </si>
  <si>
    <t>1115-1234</t>
    <phoneticPr fontId="1"/>
  </si>
  <si>
    <t>618-907</t>
    <phoneticPr fontId="1"/>
  </si>
  <si>
    <t>唯宗時俊</t>
    <phoneticPr fontId="1"/>
  </si>
  <si>
    <t>秦越人（扁鵲）</t>
    <phoneticPr fontId="1"/>
  </si>
  <si>
    <t>丹波元胤</t>
    <phoneticPr fontId="1"/>
  </si>
  <si>
    <t>朱震亨</t>
    <phoneticPr fontId="1"/>
  </si>
  <si>
    <t>1717-1776</t>
    <phoneticPr fontId="1"/>
  </si>
  <si>
    <t>明</t>
    <phoneticPr fontId="1"/>
  </si>
  <si>
    <t>宋</t>
    <phoneticPr fontId="1"/>
  </si>
  <si>
    <r>
      <t>戰國</t>
    </r>
    <r>
      <rPr>
        <sz val="8"/>
        <color rgb="FF333333"/>
        <rFont val="BIZ UDGothic"/>
        <family val="3"/>
      </rPr>
      <t>－</t>
    </r>
    <r>
      <rPr>
        <sz val="11"/>
        <color theme="1"/>
        <rFont val="游ゴシック"/>
        <family val="2"/>
        <charset val="128"/>
        <scheme val="minor"/>
      </rPr>
      <t>西漢</t>
    </r>
  </si>
  <si>
    <t>清</t>
    <phoneticPr fontId="1"/>
  </si>
  <si>
    <t>春秋戰國</t>
  </si>
  <si>
    <t>春秋戰國</t>
    <phoneticPr fontId="1"/>
  </si>
  <si>
    <t>元</t>
    <phoneticPr fontId="1"/>
  </si>
  <si>
    <t>明</t>
    <phoneticPr fontId="1"/>
  </si>
  <si>
    <t>元</t>
    <phoneticPr fontId="1"/>
  </si>
  <si>
    <t>丹波元簡</t>
    <phoneticPr fontId="1"/>
  </si>
  <si>
    <t>周學海</t>
    <phoneticPr fontId="1"/>
  </si>
  <si>
    <t>清</t>
    <rPh sb="0" eb="1">
      <t>キヨシ</t>
    </rPh>
    <phoneticPr fontId="1"/>
  </si>
  <si>
    <t>朝代</t>
  </si>
  <si>
    <t>朝代</t>
    <rPh sb="0" eb="1">
      <t>アサ</t>
    </rPh>
    <rPh sb="1" eb="2">
      <t>ダイ</t>
    </rPh>
    <phoneticPr fontId="1"/>
  </si>
  <si>
    <t>清</t>
    <phoneticPr fontId="1"/>
  </si>
  <si>
    <t>金</t>
  </si>
  <si>
    <t>金</t>
    <phoneticPr fontId="1"/>
  </si>
  <si>
    <t>唐</t>
    <phoneticPr fontId="1"/>
  </si>
  <si>
    <t>金</t>
    <phoneticPr fontId="1"/>
  </si>
  <si>
    <t>南宋</t>
  </si>
  <si>
    <t>南宋</t>
    <phoneticPr fontId="1"/>
  </si>
  <si>
    <t>晉</t>
    <phoneticPr fontId="1"/>
  </si>
  <si>
    <t>民國</t>
  </si>
  <si>
    <t>民國</t>
    <phoneticPr fontId="1"/>
  </si>
  <si>
    <t>民國</t>
    <phoneticPr fontId="1"/>
  </si>
  <si>
    <t>何舒</t>
    <phoneticPr fontId="1"/>
  </si>
  <si>
    <t>秦漢</t>
    <phoneticPr fontId="1"/>
  </si>
  <si>
    <t>漢末-晉</t>
  </si>
  <si>
    <t>漢末-晉</t>
    <phoneticPr fontId="1"/>
  </si>
  <si>
    <t>200-250</t>
    <phoneticPr fontId="1"/>
  </si>
  <si>
    <t>907-960</t>
    <phoneticPr fontId="1"/>
  </si>
  <si>
    <t>漢末</t>
  </si>
  <si>
    <t>漢末</t>
    <rPh sb="0" eb="1">
      <t>カン</t>
    </rPh>
    <rPh sb="1" eb="2">
      <t>マツ</t>
    </rPh>
    <phoneticPr fontId="1"/>
  </si>
  <si>
    <t>205-220</t>
    <phoneticPr fontId="1"/>
  </si>
  <si>
    <t>701-704</t>
    <phoneticPr fontId="1"/>
  </si>
  <si>
    <t>宋</t>
    <rPh sb="0" eb="1">
      <t>ソウ</t>
    </rPh>
    <phoneticPr fontId="1"/>
  </si>
  <si>
    <t>1097-1108</t>
    <phoneticPr fontId="1"/>
  </si>
  <si>
    <r>
      <t xml:space="preserve"> 徐</t>
    </r>
    <r>
      <rPr>
        <sz val="11"/>
        <color theme="1"/>
        <rFont val="游ゴシック"/>
        <family val="3"/>
        <charset val="136"/>
        <scheme val="minor"/>
      </rPr>
      <t>彥</t>
    </r>
    <r>
      <rPr>
        <sz val="11"/>
        <color theme="1"/>
        <rFont val="游ゴシック"/>
        <family val="2"/>
        <charset val="128"/>
        <scheme val="minor"/>
      </rPr>
      <t>純</t>
    </r>
    <phoneticPr fontId="1"/>
  </si>
  <si>
    <t>王繼先、高紹功、紫源、張孝直等撰</t>
    <phoneticPr fontId="1"/>
  </si>
  <si>
    <t>張元素</t>
    <phoneticPr fontId="1"/>
  </si>
  <si>
    <t>李杲（疑託名）</t>
    <phoneticPr fontId="1"/>
  </si>
  <si>
    <t>1279-1368</t>
    <phoneticPr fontId="1"/>
  </si>
  <si>
    <t>寇宗奭</t>
    <phoneticPr fontId="1"/>
  </si>
  <si>
    <t>繆希雍</t>
    <phoneticPr fontId="1"/>
  </si>
  <si>
    <t>蘭茂</t>
    <phoneticPr fontId="1"/>
  </si>
  <si>
    <t>陸之柷</t>
    <phoneticPr fontId="1"/>
  </si>
  <si>
    <t>1522-1566</t>
    <phoneticPr fontId="1"/>
  </si>
  <si>
    <t xml:space="preserve"> 陳嘉謨</t>
    <phoneticPr fontId="1"/>
  </si>
  <si>
    <r>
      <t>汪昂（一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荊中允）</t>
    </r>
    <phoneticPr fontId="1"/>
  </si>
  <si>
    <t xml:space="preserve"> 李中梓</t>
    <phoneticPr fontId="1"/>
  </si>
  <si>
    <t xml:space="preserve"> 杜文燮</t>
    <phoneticPr fontId="1"/>
  </si>
  <si>
    <t>張介賓</t>
    <phoneticPr fontId="1"/>
  </si>
  <si>
    <t>李中梓</t>
    <phoneticPr fontId="1"/>
  </si>
  <si>
    <t>倪朱謨</t>
    <phoneticPr fontId="1"/>
  </si>
  <si>
    <t>薛己</t>
    <phoneticPr fontId="1"/>
  </si>
  <si>
    <t>薛立齋</t>
    <phoneticPr fontId="1"/>
  </si>
  <si>
    <t>薛已</t>
    <phoneticPr fontId="1"/>
  </si>
  <si>
    <t xml:space="preserve"> 沈李龍</t>
    <phoneticPr fontId="1"/>
  </si>
  <si>
    <t>汪昂</t>
    <phoneticPr fontId="1"/>
  </si>
  <si>
    <t xml:space="preserve"> 沈金鰲</t>
    <phoneticPr fontId="1"/>
  </si>
  <si>
    <t>陳士鐸</t>
    <phoneticPr fontId="1"/>
  </si>
  <si>
    <t>姚球（原題葉天士撰）</t>
    <phoneticPr fontId="1"/>
  </si>
  <si>
    <r>
      <rPr>
        <sz val="11"/>
        <color theme="1"/>
        <rFont val="游ゴシック"/>
        <family val="3"/>
        <charset val="129"/>
        <scheme val="minor"/>
      </rPr>
      <t>吳</t>
    </r>
    <r>
      <rPr>
        <sz val="11"/>
        <color theme="1"/>
        <rFont val="游ゴシック"/>
        <family val="2"/>
        <charset val="128"/>
        <scheme val="minor"/>
      </rPr>
      <t>儀洛</t>
    </r>
    <phoneticPr fontId="1"/>
  </si>
  <si>
    <t>者張志聰歿而書未成，後由弟子高世栻續成</t>
    <phoneticPr fontId="1"/>
  </si>
  <si>
    <t xml:space="preserve"> 楊時泰</t>
    <phoneticPr fontId="1"/>
  </si>
  <si>
    <t>周巖</t>
    <phoneticPr fontId="1"/>
  </si>
  <si>
    <t>陳其瑞</t>
    <phoneticPr fontId="1"/>
  </si>
  <si>
    <t>唐宗海</t>
    <phoneticPr fontId="1"/>
  </si>
  <si>
    <t>蔣介繁</t>
    <phoneticPr fontId="1"/>
  </si>
  <si>
    <t>嚴潔、施雯、洪煒全</t>
    <phoneticPr fontId="1"/>
  </si>
  <si>
    <t>凌奐</t>
    <phoneticPr fontId="1"/>
  </si>
  <si>
    <t>姚瀾</t>
    <phoneticPr fontId="1"/>
  </si>
  <si>
    <t>徐大椿</t>
    <phoneticPr fontId="1"/>
  </si>
  <si>
    <t>民國</t>
    <phoneticPr fontId="1"/>
  </si>
  <si>
    <t>黃玉璐</t>
    <phoneticPr fontId="1"/>
  </si>
  <si>
    <t>葉志洗</t>
    <phoneticPr fontId="1"/>
  </si>
  <si>
    <t>陳澈</t>
    <phoneticPr fontId="1"/>
  </si>
  <si>
    <t>曹炳章</t>
    <phoneticPr fontId="1"/>
  </si>
  <si>
    <t>保元</t>
    <phoneticPr fontId="1"/>
  </si>
  <si>
    <t>曲直瀨道三</t>
    <phoneticPr fontId="1"/>
  </si>
  <si>
    <t>村井杶</t>
    <phoneticPr fontId="1"/>
  </si>
  <si>
    <t>久保田晴光</t>
    <phoneticPr fontId="1"/>
  </si>
  <si>
    <t>伊豫平住</t>
    <phoneticPr fontId="1"/>
  </si>
  <si>
    <t>峰下鐵雄</t>
    <phoneticPr fontId="1"/>
  </si>
  <si>
    <t>杉本重利</t>
    <phoneticPr fontId="1"/>
  </si>
  <si>
    <t>中尾萬三</t>
    <phoneticPr fontId="1"/>
  </si>
  <si>
    <t>一色直太郎</t>
    <phoneticPr fontId="1"/>
  </si>
  <si>
    <t>富士川遊</t>
    <phoneticPr fontId="1"/>
  </si>
  <si>
    <r>
      <t>雷</t>
    </r>
    <r>
      <rPr>
        <sz val="11"/>
        <color theme="1"/>
        <rFont val="游ゴシック"/>
        <family val="3"/>
        <charset val="134"/>
        <scheme val="minor"/>
      </rPr>
      <t>斆</t>
    </r>
    <phoneticPr fontId="1"/>
  </si>
  <si>
    <t>李時珍</t>
    <phoneticPr fontId="1"/>
  </si>
  <si>
    <t>1518-1593</t>
    <phoneticPr fontId="1"/>
  </si>
  <si>
    <t>明</t>
    <phoneticPr fontId="1"/>
  </si>
  <si>
    <t>稻生宣義</t>
    <phoneticPr fontId="1"/>
  </si>
  <si>
    <t>秦</t>
  </si>
  <si>
    <t>秦</t>
    <phoneticPr fontId="1"/>
  </si>
  <si>
    <t>葛洪</t>
    <phoneticPr fontId="1"/>
  </si>
  <si>
    <t>東晉</t>
  </si>
  <si>
    <t>東晉</t>
    <phoneticPr fontId="1"/>
  </si>
  <si>
    <r>
      <t>孫思邈（一</t>
    </r>
    <r>
      <rPr>
        <sz val="11"/>
        <color theme="1"/>
        <rFont val="游ゴシック"/>
        <family val="3"/>
        <charset val="129"/>
        <scheme val="minor"/>
      </rPr>
      <t>說</t>
    </r>
    <r>
      <rPr>
        <sz val="11"/>
        <color theme="1"/>
        <rFont val="游ゴシック"/>
        <family val="2"/>
        <charset val="128"/>
        <scheme val="minor"/>
      </rPr>
      <t>宋·錢竽）</t>
    </r>
    <phoneticPr fontId="1"/>
  </si>
  <si>
    <t>藺道人</t>
    <phoneticPr fontId="1"/>
  </si>
  <si>
    <t>華佗</t>
    <phoneticPr fontId="1"/>
  </si>
  <si>
    <t>後漢</t>
  </si>
  <si>
    <t>後漢</t>
    <rPh sb="0" eb="2">
      <t>ゴカン</t>
    </rPh>
    <phoneticPr fontId="1"/>
  </si>
  <si>
    <t>145-208</t>
    <phoneticPr fontId="1"/>
  </si>
  <si>
    <t>陳延之</t>
    <phoneticPr fontId="1"/>
  </si>
  <si>
    <t>晉</t>
    <phoneticPr fontId="1"/>
  </si>
  <si>
    <t>小分類</t>
  </si>
  <si>
    <t>戰國－西漢</t>
  </si>
  <si>
    <t>南朝·宋</t>
  </si>
  <si>
    <t>宋</t>
    <phoneticPr fontId="1"/>
  </si>
  <si>
    <t>王袞</t>
    <phoneticPr fontId="1"/>
  </si>
  <si>
    <t>蘇軾、沈括</t>
    <phoneticPr fontId="1"/>
  </si>
  <si>
    <t>史堪</t>
    <phoneticPr fontId="1"/>
  </si>
  <si>
    <t>太平惠民和劑局</t>
    <phoneticPr fontId="1"/>
  </si>
  <si>
    <t>1078-1085</t>
    <phoneticPr fontId="1"/>
  </si>
  <si>
    <t>1111-1118</t>
    <phoneticPr fontId="1"/>
  </si>
  <si>
    <t>程林</t>
    <phoneticPr fontId="1"/>
  </si>
  <si>
    <t>清</t>
    <phoneticPr fontId="1"/>
  </si>
  <si>
    <r>
      <t>張</t>
    </r>
    <r>
      <rPr>
        <sz val="11"/>
        <color theme="1"/>
        <rFont val="游ゴシック"/>
        <family val="3"/>
        <charset val="129"/>
        <scheme val="minor"/>
      </rPr>
      <t>銳</t>
    </r>
    <phoneticPr fontId="1"/>
  </si>
  <si>
    <t>許叔微</t>
    <phoneticPr fontId="1"/>
  </si>
  <si>
    <t>南宋</t>
    <phoneticPr fontId="1"/>
  </si>
  <si>
    <t>洪遵</t>
    <phoneticPr fontId="1"/>
  </si>
  <si>
    <t>楊倓</t>
    <phoneticPr fontId="1"/>
  </si>
  <si>
    <t>郭思</t>
    <phoneticPr fontId="1"/>
  </si>
  <si>
    <t>王貺</t>
    <phoneticPr fontId="1"/>
  </si>
  <si>
    <t>1100-1150</t>
    <phoneticPr fontId="1"/>
  </si>
  <si>
    <t>陳自明</t>
    <phoneticPr fontId="1"/>
  </si>
  <si>
    <t>南宋</t>
    <phoneticPr fontId="1"/>
  </si>
  <si>
    <t>楊士瀛</t>
    <phoneticPr fontId="1"/>
  </si>
  <si>
    <t>嚴用和</t>
    <phoneticPr fontId="1"/>
  </si>
  <si>
    <t>沙圖穆蘇</t>
    <phoneticPr fontId="1"/>
  </si>
  <si>
    <t>元</t>
    <phoneticPr fontId="1"/>
  </si>
  <si>
    <t>許國禎</t>
    <phoneticPr fontId="1"/>
  </si>
  <si>
    <t>危亦林</t>
    <phoneticPr fontId="1"/>
  </si>
  <si>
    <t>王璆</t>
    <phoneticPr fontId="1"/>
  </si>
  <si>
    <t>吳彥夔</t>
    <phoneticPr fontId="1"/>
  </si>
  <si>
    <t>劉信甫</t>
    <phoneticPr fontId="1"/>
  </si>
  <si>
    <t>朱佐</t>
    <phoneticPr fontId="1"/>
  </si>
  <si>
    <r>
      <t>李璆</t>
    </r>
    <r>
      <rPr>
        <sz val="8"/>
        <color rgb="FF333333"/>
        <rFont val="BIZ UDGothic"/>
        <family val="3"/>
      </rPr>
      <t>、</t>
    </r>
    <r>
      <rPr>
        <sz val="11"/>
        <color theme="1"/>
        <rFont val="游ゴシック"/>
        <family val="2"/>
        <charset val="128"/>
        <scheme val="minor"/>
      </rPr>
      <t>張致遠</t>
    </r>
    <phoneticPr fontId="1"/>
  </si>
  <si>
    <t>趙貞觀</t>
    <phoneticPr fontId="1"/>
  </si>
  <si>
    <t>明</t>
    <phoneticPr fontId="1"/>
  </si>
  <si>
    <t>張時徹</t>
    <phoneticPr fontId="1"/>
  </si>
  <si>
    <t>胡濙</t>
    <phoneticPr fontId="1"/>
  </si>
  <si>
    <t>朱橚</t>
    <phoneticPr fontId="1"/>
  </si>
  <si>
    <t>吳昆</t>
    <phoneticPr fontId="1"/>
  </si>
  <si>
    <t>張浩</t>
    <phoneticPr fontId="1"/>
  </si>
  <si>
    <t>龔廷賢</t>
    <phoneticPr fontId="1"/>
  </si>
  <si>
    <t>施沛</t>
    <phoneticPr fontId="1"/>
  </si>
  <si>
    <t>張受孔</t>
    <phoneticPr fontId="1"/>
  </si>
  <si>
    <t>王肯堂</t>
    <phoneticPr fontId="1"/>
  </si>
  <si>
    <t>吳旻</t>
    <phoneticPr fontId="1"/>
  </si>
  <si>
    <t>周文採</t>
    <phoneticPr fontId="1"/>
  </si>
  <si>
    <t>傅山</t>
    <phoneticPr fontId="1"/>
  </si>
  <si>
    <t>許宏</t>
    <phoneticPr fontId="1"/>
  </si>
  <si>
    <t>萬表</t>
    <phoneticPr fontId="1"/>
  </si>
  <si>
    <t>王宗顯</t>
    <phoneticPr fontId="1"/>
  </si>
  <si>
    <t>吳儀洛</t>
    <phoneticPr fontId="1"/>
  </si>
  <si>
    <t>陳念祖</t>
    <phoneticPr fontId="1"/>
  </si>
  <si>
    <t>包誠</t>
    <phoneticPr fontId="1"/>
  </si>
  <si>
    <t>太醫院</t>
    <phoneticPr fontId="1"/>
  </si>
  <si>
    <t>愛虛老人</t>
    <phoneticPr fontId="1"/>
  </si>
  <si>
    <t>喻嘉言</t>
    <phoneticPr fontId="1"/>
  </si>
  <si>
    <t>王旭高</t>
    <phoneticPr fontId="1"/>
  </si>
  <si>
    <t>梁廉夫</t>
    <phoneticPr fontId="1"/>
  </si>
  <si>
    <t>張璐</t>
    <phoneticPr fontId="1"/>
  </si>
  <si>
    <t>丁甘仁</t>
    <phoneticPr fontId="1"/>
  </si>
  <si>
    <t>民國</t>
    <phoneticPr fontId="1"/>
  </si>
  <si>
    <t>錢敏捷</t>
    <phoneticPr fontId="1"/>
  </si>
  <si>
    <t>陸懋修</t>
    <phoneticPr fontId="1"/>
  </si>
  <si>
    <t>馬培之</t>
    <phoneticPr fontId="1"/>
  </si>
  <si>
    <t>師成子</t>
    <phoneticPr fontId="1"/>
  </si>
  <si>
    <t>羅世瑤</t>
    <phoneticPr fontId="1"/>
  </si>
  <si>
    <t>費養莊</t>
    <phoneticPr fontId="1"/>
  </si>
  <si>
    <t>金子久</t>
    <phoneticPr fontId="1"/>
  </si>
  <si>
    <t>虛白主人</t>
    <phoneticPr fontId="1"/>
  </si>
  <si>
    <t>王夢蘭</t>
    <phoneticPr fontId="1"/>
  </si>
  <si>
    <t>王清源</t>
    <phoneticPr fontId="1"/>
  </si>
  <si>
    <t>羅美</t>
    <phoneticPr fontId="1"/>
  </si>
  <si>
    <t>汪昂</t>
    <phoneticPr fontId="1"/>
  </si>
  <si>
    <t>王子接</t>
    <phoneticPr fontId="1"/>
  </si>
  <si>
    <t>費伯雄</t>
    <phoneticPr fontId="1"/>
  </si>
  <si>
    <t>1644-1911</t>
    <phoneticPr fontId="1"/>
  </si>
  <si>
    <r>
      <rPr>
        <sz val="11"/>
        <color theme="1"/>
        <rFont val="游ゴシック"/>
        <family val="3"/>
        <charset val="129"/>
        <scheme val="minor"/>
      </rPr>
      <t>吳</t>
    </r>
    <r>
      <rPr>
        <sz val="11"/>
        <color theme="1"/>
        <rFont val="游ゴシック"/>
        <family val="2"/>
        <charset val="128"/>
        <scheme val="minor"/>
      </rPr>
      <t>謙等</t>
    </r>
    <phoneticPr fontId="1"/>
  </si>
  <si>
    <t>作者</t>
    <rPh sb="0" eb="2">
      <t>サクシャ</t>
    </rPh>
    <phoneticPr fontId="1"/>
  </si>
  <si>
    <t>1644-1911</t>
    <phoneticPr fontId="1"/>
  </si>
  <si>
    <t>吉益為則</t>
    <phoneticPr fontId="1"/>
  </si>
  <si>
    <t>董汲</t>
    <phoneticPr fontId="1"/>
  </si>
  <si>
    <t>王士雄</t>
    <phoneticPr fontId="1"/>
  </si>
  <si>
    <t>胡文煥</t>
    <phoneticPr fontId="1"/>
  </si>
  <si>
    <t>1644-1662</t>
    <phoneticPr fontId="1"/>
  </si>
  <si>
    <t>陸錦燧</t>
    <phoneticPr fontId="1"/>
  </si>
  <si>
    <t>陳言</t>
    <phoneticPr fontId="1"/>
  </si>
  <si>
    <r>
      <t>吳謙</t>
    </r>
    <r>
      <rPr>
        <sz val="8"/>
        <color rgb="FF333333"/>
        <rFont val="BIZ UDGothic"/>
        <family val="3"/>
        <charset val="128"/>
      </rPr>
      <t>等</t>
    </r>
    <phoneticPr fontId="1"/>
  </si>
  <si>
    <t>汪機</t>
    <phoneticPr fontId="1"/>
  </si>
  <si>
    <t>原昌克</t>
    <phoneticPr fontId="1"/>
  </si>
  <si>
    <t>張筱衫</t>
    <phoneticPr fontId="1"/>
  </si>
  <si>
    <r>
      <t>葉桂</t>
    </r>
    <r>
      <rPr>
        <sz val="8"/>
        <color rgb="FF333333"/>
        <rFont val="BIZ UDGothic"/>
        <family val="3"/>
        <charset val="128"/>
      </rPr>
      <t>原著，</t>
    </r>
    <r>
      <rPr>
        <sz val="11"/>
        <color theme="1"/>
        <rFont val="游ゴシック"/>
        <family val="2"/>
        <charset val="128"/>
        <scheme val="minor"/>
      </rPr>
      <t>華岫雲</t>
    </r>
    <r>
      <rPr>
        <sz val="8"/>
        <color rgb="FF333333"/>
        <rFont val="BIZ UDGothic"/>
        <family val="3"/>
        <charset val="128"/>
      </rPr>
      <t>編</t>
    </r>
    <phoneticPr fontId="1"/>
  </si>
  <si>
    <r>
      <t>董宿</t>
    </r>
    <r>
      <rPr>
        <sz val="8"/>
        <color rgb="FF333333"/>
        <rFont val="BIZ UDGothic"/>
        <family val="3"/>
        <charset val="128"/>
      </rPr>
      <t>原撰，</t>
    </r>
    <r>
      <rPr>
        <sz val="11"/>
        <color theme="1"/>
        <rFont val="游ゴシック"/>
        <family val="2"/>
        <charset val="128"/>
        <scheme val="minor"/>
      </rPr>
      <t>方賢</t>
    </r>
    <r>
      <rPr>
        <sz val="8"/>
        <color rgb="FF333333"/>
        <rFont val="BIZ UDGothic"/>
        <family val="3"/>
        <charset val="128"/>
      </rPr>
      <t>編定</t>
    </r>
  </si>
  <si>
    <r>
      <t>北宋徽宗</t>
    </r>
    <r>
      <rPr>
        <sz val="11"/>
        <color theme="1"/>
        <rFont val="游ゴシック"/>
        <family val="2"/>
        <charset val="128"/>
        <scheme val="minor"/>
      </rPr>
      <t>趙佶</t>
    </r>
    <r>
      <rPr>
        <sz val="8"/>
        <color rgb="FF333333"/>
        <rFont val="BIZ UDGothic"/>
        <family val="3"/>
        <charset val="128"/>
      </rPr>
      <t>主持編纂</t>
    </r>
    <phoneticPr fontId="1"/>
  </si>
  <si>
    <r>
      <t>王懷隱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陳昭遇</t>
    </r>
    <r>
      <rPr>
        <sz val="8"/>
        <color rgb="FF333333"/>
        <rFont val="BIZ UDGothic"/>
        <family val="3"/>
        <charset val="128"/>
      </rPr>
      <t>等</t>
    </r>
    <phoneticPr fontId="1"/>
  </si>
  <si>
    <t>張秉成</t>
    <phoneticPr fontId="1"/>
  </si>
  <si>
    <t>25-220</t>
    <phoneticPr fontId="1"/>
  </si>
  <si>
    <t>漢</t>
    <rPh sb="0" eb="1">
      <t>カン</t>
    </rPh>
    <phoneticPr fontId="1"/>
  </si>
  <si>
    <t>1115-1234</t>
    <phoneticPr fontId="1"/>
  </si>
  <si>
    <t>1127-1279</t>
    <phoneticPr fontId="1"/>
  </si>
  <si>
    <t>1080-1154</t>
    <phoneticPr fontId="1"/>
  </si>
  <si>
    <t>漢</t>
  </si>
  <si>
    <t>1519-1559</t>
    <phoneticPr fontId="1"/>
  </si>
  <si>
    <t>傅青主</t>
    <phoneticPr fontId="1"/>
  </si>
  <si>
    <t>清</t>
    <phoneticPr fontId="1"/>
  </si>
  <si>
    <t>莫枚士</t>
    <phoneticPr fontId="1"/>
  </si>
  <si>
    <r>
      <t>宋·</t>
    </r>
    <r>
      <rPr>
        <sz val="11"/>
        <color theme="1"/>
        <rFont val="游ゴシック"/>
        <family val="2"/>
        <charset val="128"/>
        <scheme val="minor"/>
      </rPr>
      <t>許叔微</t>
    </r>
    <r>
      <rPr>
        <sz val="8"/>
        <color rgb="FF333333"/>
        <rFont val="BIZ UDGothic"/>
        <family val="3"/>
        <charset val="128"/>
      </rPr>
      <t>著，清·</t>
    </r>
    <r>
      <rPr>
        <sz val="11"/>
        <color theme="1"/>
        <rFont val="游ゴシック"/>
        <family val="2"/>
        <charset val="128"/>
        <scheme val="minor"/>
      </rPr>
      <t>葉桂</t>
    </r>
    <r>
      <rPr>
        <sz val="8"/>
        <color rgb="FF333333"/>
        <rFont val="BIZ UDGothic"/>
        <family val="3"/>
        <charset val="128"/>
      </rPr>
      <t>注釋</t>
    </r>
    <phoneticPr fontId="1"/>
  </si>
  <si>
    <t>汪昂</t>
    <phoneticPr fontId="1"/>
  </si>
  <si>
    <t>清</t>
    <phoneticPr fontId="1"/>
  </si>
  <si>
    <t>陳念祖</t>
    <phoneticPr fontId="1"/>
  </si>
  <si>
    <t>清</t>
    <phoneticPr fontId="1"/>
  </si>
  <si>
    <t>陳念祖</t>
    <phoneticPr fontId="1"/>
  </si>
  <si>
    <t>王泰林</t>
    <phoneticPr fontId="1"/>
  </si>
  <si>
    <t>坐嘯山人</t>
    <phoneticPr fontId="1"/>
  </si>
  <si>
    <t>張秉成</t>
    <phoneticPr fontId="1"/>
  </si>
  <si>
    <t>丹波元堅</t>
    <phoneticPr fontId="1"/>
  </si>
  <si>
    <t>水走嘉言</t>
    <phoneticPr fontId="1"/>
  </si>
  <si>
    <t>賀谷壽</t>
    <phoneticPr fontId="1"/>
  </si>
  <si>
    <t>吉益為則</t>
    <phoneticPr fontId="1"/>
  </si>
  <si>
    <t>吉益東洞</t>
    <phoneticPr fontId="1"/>
  </si>
  <si>
    <t>丹波元簡</t>
    <phoneticPr fontId="1"/>
  </si>
  <si>
    <t>山田元倫</t>
    <phoneticPr fontId="1"/>
  </si>
  <si>
    <t>平井氏</t>
    <phoneticPr fontId="1"/>
  </si>
  <si>
    <t>吳世昌</t>
    <phoneticPr fontId="1"/>
  </si>
  <si>
    <t>趙學敏</t>
    <phoneticPr fontId="1"/>
  </si>
  <si>
    <t>魯照/南厓</t>
    <phoneticPr fontId="1"/>
  </si>
  <si>
    <t>鮑相璈</t>
    <phoneticPr fontId="1"/>
  </si>
  <si>
    <t>柏鶴亭</t>
    <phoneticPr fontId="1"/>
  </si>
  <si>
    <t>董汲</t>
    <phoneticPr fontId="1"/>
  </si>
  <si>
    <t>宋</t>
    <phoneticPr fontId="1"/>
  </si>
  <si>
    <t>錢峻</t>
    <phoneticPr fontId="1"/>
  </si>
  <si>
    <t>洪遵</t>
    <phoneticPr fontId="1"/>
  </si>
  <si>
    <t>丁堯臣</t>
    <phoneticPr fontId="1"/>
  </si>
  <si>
    <r>
      <t>陶承熹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王承勳</t>
    </r>
    <r>
      <rPr>
        <sz val="8"/>
        <color rgb="FF333333"/>
        <rFont val="BIZ UDGothic"/>
        <family val="3"/>
        <charset val="128"/>
      </rPr>
      <t>輯</t>
    </r>
    <phoneticPr fontId="1"/>
  </si>
  <si>
    <t>雲川道人</t>
    <phoneticPr fontId="1"/>
  </si>
  <si>
    <t>周子薌</t>
    <phoneticPr fontId="1"/>
  </si>
  <si>
    <t>鄒存淦</t>
    <phoneticPr fontId="1"/>
  </si>
  <si>
    <t>何英</t>
    <phoneticPr fontId="1"/>
  </si>
  <si>
    <t>陳杰</t>
    <phoneticPr fontId="1"/>
  </si>
  <si>
    <t>張宗祥</t>
    <phoneticPr fontId="1"/>
  </si>
  <si>
    <t>民國</t>
    <phoneticPr fontId="1"/>
  </si>
  <si>
    <t>羅越峰</t>
    <phoneticPr fontId="1"/>
  </si>
  <si>
    <t>薛己</t>
    <phoneticPr fontId="1"/>
  </si>
  <si>
    <t>明</t>
    <phoneticPr fontId="1"/>
  </si>
  <si>
    <t>王士雄</t>
    <phoneticPr fontId="1"/>
  </si>
  <si>
    <t>孟文瑞</t>
    <phoneticPr fontId="1"/>
  </si>
  <si>
    <t>王永彙集</t>
    <phoneticPr fontId="1"/>
  </si>
  <si>
    <t>吳杖仙</t>
    <phoneticPr fontId="1"/>
  </si>
  <si>
    <t>朱費元</t>
    <phoneticPr fontId="1"/>
  </si>
  <si>
    <t>溫大明</t>
    <phoneticPr fontId="1"/>
  </si>
  <si>
    <t>葉大廉</t>
    <phoneticPr fontId="1"/>
  </si>
  <si>
    <t>姚俊</t>
    <phoneticPr fontId="1"/>
  </si>
  <si>
    <t>田綿淮</t>
    <phoneticPr fontId="1"/>
  </si>
  <si>
    <t>盛景雲</t>
    <phoneticPr fontId="1"/>
  </si>
  <si>
    <t>張大爔</t>
    <phoneticPr fontId="1"/>
  </si>
  <si>
    <t>胡文煥</t>
    <phoneticPr fontId="1"/>
  </si>
  <si>
    <t>龔廷賢</t>
    <phoneticPr fontId="1"/>
  </si>
  <si>
    <t>繆希雍</t>
    <phoneticPr fontId="1"/>
  </si>
  <si>
    <t>凌曉五</t>
    <phoneticPr fontId="1"/>
  </si>
  <si>
    <t>岡西為人</t>
    <phoneticPr fontId="1"/>
  </si>
  <si>
    <t>傅山</t>
    <phoneticPr fontId="1"/>
  </si>
  <si>
    <t>胡增彬</t>
    <phoneticPr fontId="1"/>
  </si>
  <si>
    <t>孫偉</t>
    <phoneticPr fontId="1"/>
  </si>
  <si>
    <t>羅浮山人</t>
    <phoneticPr fontId="1"/>
  </si>
  <si>
    <t>陸錦燧</t>
    <phoneticPr fontId="1"/>
  </si>
  <si>
    <r>
      <t>沈銘三</t>
    </r>
    <r>
      <rPr>
        <sz val="8"/>
        <color rgb="FF333333"/>
        <rFont val="BIZ UDGothic"/>
        <family val="3"/>
        <charset val="128"/>
      </rPr>
      <t>原本，</t>
    </r>
    <r>
      <rPr>
        <sz val="11"/>
        <color theme="1"/>
        <rFont val="游ゴシック"/>
        <family val="2"/>
        <charset val="128"/>
        <scheme val="minor"/>
      </rPr>
      <t>田間來</t>
    </r>
    <r>
      <rPr>
        <sz val="8"/>
        <color rgb="FF333333"/>
        <rFont val="BIZ UDGothic"/>
        <family val="3"/>
        <charset val="128"/>
      </rPr>
      <t>增輯</t>
    </r>
    <phoneticPr fontId="1"/>
  </si>
  <si>
    <t>喻政</t>
    <phoneticPr fontId="1"/>
  </si>
  <si>
    <t>李時珍</t>
    <phoneticPr fontId="1"/>
  </si>
  <si>
    <t>徐鳳</t>
    <phoneticPr fontId="1"/>
  </si>
  <si>
    <t>瓊瑤真人</t>
    <phoneticPr fontId="1"/>
  </si>
  <si>
    <t>皇甫謐</t>
    <phoneticPr fontId="1"/>
  </si>
  <si>
    <t>晉</t>
    <phoneticPr fontId="1"/>
  </si>
  <si>
    <t>方慎庵</t>
    <phoneticPr fontId="1"/>
  </si>
  <si>
    <t>廖潤鴻</t>
    <phoneticPr fontId="1"/>
  </si>
  <si>
    <t>王國瑞</t>
    <phoneticPr fontId="1"/>
  </si>
  <si>
    <t>元</t>
    <phoneticPr fontId="1"/>
  </si>
  <si>
    <t>陳言</t>
    <phoneticPr fontId="1"/>
  </si>
  <si>
    <t>翟良</t>
    <phoneticPr fontId="1"/>
  </si>
  <si>
    <r>
      <t>沈子祿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徐師曾</t>
    </r>
    <r>
      <rPr>
        <sz val="8"/>
        <color rgb="FF333333"/>
        <rFont val="BIZ UDGothic"/>
        <family val="3"/>
        <charset val="128"/>
      </rPr>
      <t>撰</t>
    </r>
    <phoneticPr fontId="1"/>
  </si>
  <si>
    <t>李守先</t>
    <phoneticPr fontId="1"/>
  </si>
  <si>
    <t>朱橚</t>
    <phoneticPr fontId="1"/>
  </si>
  <si>
    <t>高武</t>
    <phoneticPr fontId="1"/>
  </si>
  <si>
    <r>
      <t>吳謙</t>
    </r>
    <r>
      <rPr>
        <sz val="8"/>
        <color rgb="FF333333"/>
        <rFont val="BIZ UDGothic"/>
        <family val="3"/>
        <charset val="128"/>
      </rPr>
      <t>等</t>
    </r>
    <phoneticPr fontId="1"/>
  </si>
  <si>
    <t>汪機</t>
    <phoneticPr fontId="1"/>
  </si>
  <si>
    <t>竇傑（竇漢卿）</t>
    <phoneticPr fontId="1"/>
  </si>
  <si>
    <t>唐</t>
    <phoneticPr fontId="1"/>
  </si>
  <si>
    <t>杜思敬</t>
    <phoneticPr fontId="1"/>
  </si>
  <si>
    <t>王執中</t>
    <phoneticPr fontId="1"/>
  </si>
  <si>
    <t>南宋</t>
    <phoneticPr fontId="1"/>
  </si>
  <si>
    <t>原昌克</t>
    <phoneticPr fontId="1"/>
  </si>
  <si>
    <t>夏英</t>
    <phoneticPr fontId="1"/>
  </si>
  <si>
    <t>張三錫</t>
    <phoneticPr fontId="1"/>
  </si>
  <si>
    <t>滑壽</t>
    <phoneticPr fontId="1"/>
  </si>
  <si>
    <t>楊繼洲</t>
    <phoneticPr fontId="1"/>
  </si>
  <si>
    <r>
      <t>陳會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劉瑾</t>
    </r>
    <r>
      <rPr>
        <sz val="8"/>
        <color rgb="FF333333"/>
        <rFont val="BIZ UDGothic"/>
        <family val="3"/>
        <charset val="128"/>
      </rPr>
      <t>補輯</t>
    </r>
    <phoneticPr fontId="1"/>
  </si>
  <si>
    <t>李學川</t>
    <phoneticPr fontId="1"/>
  </si>
  <si>
    <t>張介賓</t>
    <phoneticPr fontId="1"/>
  </si>
  <si>
    <r>
      <t>董熿</t>
    </r>
    <r>
      <rPr>
        <sz val="8"/>
        <color rgb="FF333333"/>
        <rFont val="BIZ UDGothic"/>
        <family val="3"/>
        <charset val="128"/>
      </rPr>
      <t>輯，</t>
    </r>
    <r>
      <rPr>
        <sz val="11"/>
        <color theme="1"/>
        <rFont val="游ゴシック"/>
        <family val="2"/>
        <charset val="128"/>
        <scheme val="minor"/>
      </rPr>
      <t>張萬選</t>
    </r>
    <r>
      <rPr>
        <sz val="8"/>
        <color rgb="FF333333"/>
        <rFont val="BIZ UDGothic"/>
        <family val="3"/>
        <charset val="128"/>
      </rPr>
      <t>校刻</t>
    </r>
    <phoneticPr fontId="1"/>
  </si>
  <si>
    <t>劉鍾衡</t>
    <phoneticPr fontId="1"/>
  </si>
  <si>
    <t>譚志光</t>
    <phoneticPr fontId="1"/>
  </si>
  <si>
    <t>陳惠疇</t>
    <phoneticPr fontId="1"/>
  </si>
  <si>
    <t>郭誠勳</t>
    <phoneticPr fontId="1"/>
  </si>
  <si>
    <t>李彰五</t>
    <phoneticPr fontId="1"/>
  </si>
  <si>
    <t>管周桂</t>
    <phoneticPr fontId="1"/>
  </si>
  <si>
    <t>吳昆</t>
    <phoneticPr fontId="1"/>
  </si>
  <si>
    <t>佐藤利信</t>
    <phoneticPr fontId="1"/>
  </si>
  <si>
    <t>小阪營升</t>
    <phoneticPr fontId="1"/>
  </si>
  <si>
    <t>李瀠</t>
    <phoneticPr fontId="1"/>
  </si>
  <si>
    <t>閻明廣</t>
    <phoneticPr fontId="1"/>
  </si>
  <si>
    <t>金</t>
    <phoneticPr fontId="1"/>
  </si>
  <si>
    <t>莊綽</t>
    <phoneticPr fontId="1"/>
  </si>
  <si>
    <t>劉國光</t>
    <phoneticPr fontId="1"/>
  </si>
  <si>
    <t>孫炬卿</t>
    <phoneticPr fontId="1"/>
  </si>
  <si>
    <t>吳亦鼎</t>
    <phoneticPr fontId="1"/>
  </si>
  <si>
    <t>楊成博</t>
    <phoneticPr fontId="1"/>
  </si>
  <si>
    <t>杉山和一</t>
    <phoneticPr fontId="1"/>
  </si>
  <si>
    <t>徐學修</t>
    <phoneticPr fontId="1"/>
  </si>
  <si>
    <t>張筱衫</t>
    <phoneticPr fontId="1"/>
  </si>
  <si>
    <t>王惟一</t>
    <phoneticPr fontId="1"/>
  </si>
  <si>
    <r>
      <t>宋·</t>
    </r>
    <r>
      <rPr>
        <sz val="11"/>
        <color theme="1"/>
        <rFont val="游ゴシック"/>
        <family val="2"/>
        <charset val="128"/>
        <scheme val="minor"/>
      </rPr>
      <t>王惟一</t>
    </r>
    <r>
      <rPr>
        <sz val="8"/>
        <color rgb="FF333333"/>
        <rFont val="BIZ UDGothic"/>
        <family val="3"/>
        <charset val="128"/>
      </rPr>
      <t>原著，金·</t>
    </r>
    <r>
      <rPr>
        <sz val="11"/>
        <color theme="1"/>
        <rFont val="游ゴシック"/>
        <family val="2"/>
        <charset val="128"/>
        <scheme val="minor"/>
      </rPr>
      <t>閉邪瞶叟</t>
    </r>
    <r>
      <rPr>
        <sz val="8"/>
        <color rgb="FF333333"/>
        <rFont val="BIZ UDGothic"/>
        <family val="3"/>
        <charset val="128"/>
      </rPr>
      <t>增補</t>
    </r>
    <phoneticPr fontId="1"/>
  </si>
  <si>
    <t>張機</t>
    <phoneticPr fontId="1"/>
  </si>
  <si>
    <t>張機</t>
    <phoneticPr fontId="1"/>
  </si>
  <si>
    <r>
      <t>張機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大塚敬節</t>
    </r>
    <r>
      <rPr>
        <sz val="8"/>
        <color rgb="FF333333"/>
        <rFont val="BIZ UDGothic"/>
        <family val="3"/>
        <charset val="128"/>
      </rPr>
      <t>校正</t>
    </r>
    <phoneticPr fontId="1"/>
  </si>
  <si>
    <r>
      <t>張機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林億</t>
    </r>
    <r>
      <rPr>
        <sz val="8"/>
        <color rgb="FF333333"/>
        <rFont val="BIZ UDGothic"/>
        <family val="3"/>
        <charset val="128"/>
      </rPr>
      <t>等集解</t>
    </r>
    <phoneticPr fontId="1"/>
  </si>
  <si>
    <r>
      <t>漢·</t>
    </r>
    <r>
      <rPr>
        <sz val="11"/>
        <color theme="1"/>
        <rFont val="游ゴシック"/>
        <family val="2"/>
        <charset val="128"/>
        <scheme val="minor"/>
      </rPr>
      <t>張機</t>
    </r>
    <r>
      <rPr>
        <sz val="8"/>
        <color rgb="FF333333"/>
        <rFont val="BIZ UDGothic"/>
        <family val="3"/>
        <charset val="128"/>
      </rPr>
      <t>著，晉·</t>
    </r>
    <r>
      <rPr>
        <sz val="11"/>
        <color theme="1"/>
        <rFont val="游ゴシック"/>
        <family val="2"/>
        <charset val="128"/>
        <scheme val="minor"/>
      </rPr>
      <t>王叔和</t>
    </r>
    <r>
      <rPr>
        <sz val="8"/>
        <color rgb="FF333333"/>
        <rFont val="BIZ UDGothic"/>
        <family val="3"/>
        <charset val="128"/>
      </rPr>
      <t>撰次，金·</t>
    </r>
    <r>
      <rPr>
        <sz val="11"/>
        <color theme="1"/>
        <rFont val="游ゴシック"/>
        <family val="2"/>
        <charset val="128"/>
        <scheme val="minor"/>
      </rPr>
      <t>成無己</t>
    </r>
    <r>
      <rPr>
        <sz val="8"/>
        <color rgb="FF333333"/>
        <rFont val="BIZ UDGothic"/>
        <family val="3"/>
        <charset val="128"/>
      </rPr>
      <t>注</t>
    </r>
    <phoneticPr fontId="1"/>
  </si>
  <si>
    <t>金</t>
    <phoneticPr fontId="1"/>
  </si>
  <si>
    <r>
      <t>漢·</t>
    </r>
    <r>
      <rPr>
        <sz val="11"/>
        <color theme="1"/>
        <rFont val="游ゴシック"/>
        <family val="2"/>
        <charset val="128"/>
        <scheme val="minor"/>
      </rPr>
      <t>張機</t>
    </r>
    <r>
      <rPr>
        <sz val="8"/>
        <color rgb="FF333333"/>
        <rFont val="BIZ UDGothic"/>
        <family val="3"/>
        <charset val="128"/>
      </rPr>
      <t>著，晉·</t>
    </r>
    <r>
      <rPr>
        <sz val="11"/>
        <color theme="1"/>
        <rFont val="游ゴシック"/>
        <family val="2"/>
        <charset val="128"/>
        <scheme val="minor"/>
      </rPr>
      <t>王叔和</t>
    </r>
    <r>
      <rPr>
        <sz val="8"/>
        <color rgb="FF333333"/>
        <rFont val="BIZ UDGothic"/>
        <family val="3"/>
        <charset val="128"/>
      </rPr>
      <t>撰次，金·</t>
    </r>
    <r>
      <rPr>
        <sz val="11"/>
        <color theme="1"/>
        <rFont val="游ゴシック"/>
        <family val="2"/>
        <charset val="128"/>
        <scheme val="minor"/>
      </rPr>
      <t>成無己</t>
    </r>
    <r>
      <rPr>
        <sz val="8"/>
        <color rgb="FF333333"/>
        <rFont val="BIZ UDGothic"/>
        <family val="3"/>
        <charset val="128"/>
      </rPr>
      <t>注，清·</t>
    </r>
    <r>
      <rPr>
        <sz val="11"/>
        <color theme="1"/>
        <rFont val="游ゴシック"/>
        <family val="2"/>
        <charset val="128"/>
        <scheme val="minor"/>
      </rPr>
      <t>張遂辰</t>
    </r>
    <r>
      <rPr>
        <sz val="8"/>
        <color rgb="FF333333"/>
        <rFont val="BIZ UDGothic"/>
        <family val="3"/>
        <charset val="128"/>
      </rPr>
      <t>參</t>
    </r>
    <phoneticPr fontId="1"/>
  </si>
  <si>
    <t>清</t>
    <phoneticPr fontId="1"/>
  </si>
  <si>
    <t>柯琴</t>
    <phoneticPr fontId="1"/>
  </si>
  <si>
    <t>韓袛和</t>
    <phoneticPr fontId="1"/>
  </si>
  <si>
    <t>宋</t>
    <phoneticPr fontId="1"/>
  </si>
  <si>
    <t>劉完素</t>
    <phoneticPr fontId="1"/>
  </si>
  <si>
    <t>朱肱</t>
    <phoneticPr fontId="1"/>
  </si>
  <si>
    <t>錢潢</t>
    <phoneticPr fontId="1"/>
  </si>
  <si>
    <t>方有執</t>
    <phoneticPr fontId="1"/>
  </si>
  <si>
    <t>明</t>
    <phoneticPr fontId="1"/>
  </si>
  <si>
    <t>黃玉璐</t>
    <phoneticPr fontId="1"/>
  </si>
  <si>
    <t>沈金鰲</t>
    <phoneticPr fontId="1"/>
  </si>
  <si>
    <t>尤怡</t>
    <phoneticPr fontId="1"/>
  </si>
  <si>
    <t>張璐</t>
    <phoneticPr fontId="1"/>
  </si>
  <si>
    <t>山田正珍</t>
    <phoneticPr fontId="1"/>
  </si>
  <si>
    <t>喻昌</t>
    <phoneticPr fontId="1"/>
  </si>
  <si>
    <r>
      <t>漢·</t>
    </r>
    <r>
      <rPr>
        <sz val="11"/>
        <color theme="1"/>
        <rFont val="游ゴシック"/>
        <family val="2"/>
        <charset val="128"/>
        <scheme val="minor"/>
      </rPr>
      <t>張仲景</t>
    </r>
    <r>
      <rPr>
        <sz val="8"/>
        <color rgb="FF333333"/>
        <rFont val="BIZ UDGothic"/>
        <family val="3"/>
        <charset val="128"/>
      </rPr>
      <t>撰，清·</t>
    </r>
    <r>
      <rPr>
        <sz val="11"/>
        <color theme="1"/>
        <rFont val="游ゴシック"/>
        <family val="2"/>
        <charset val="128"/>
        <scheme val="minor"/>
      </rPr>
      <t>陳修園</t>
    </r>
    <r>
      <rPr>
        <sz val="8"/>
        <color rgb="FF333333"/>
        <rFont val="BIZ UDGothic"/>
        <family val="3"/>
        <charset val="128"/>
      </rPr>
      <t>淺注，</t>
    </r>
    <r>
      <rPr>
        <sz val="11"/>
        <color theme="1"/>
        <rFont val="游ゴシック"/>
        <family val="2"/>
        <charset val="128"/>
        <scheme val="minor"/>
      </rPr>
      <t>唐容川</t>
    </r>
    <r>
      <rPr>
        <sz val="8"/>
        <color rgb="FF333333"/>
        <rFont val="BIZ UDGothic"/>
        <family val="3"/>
        <charset val="128"/>
      </rPr>
      <t>補正</t>
    </r>
    <phoneticPr fontId="1"/>
  </si>
  <si>
    <t>中西惟忠</t>
    <phoneticPr fontId="1"/>
  </si>
  <si>
    <t>沈又彭</t>
    <phoneticPr fontId="1"/>
  </si>
  <si>
    <t>何廉臣</t>
    <phoneticPr fontId="1"/>
  </si>
  <si>
    <t>民國</t>
    <phoneticPr fontId="1"/>
  </si>
  <si>
    <t>吳坤安</t>
    <phoneticPr fontId="1"/>
  </si>
  <si>
    <t>柯琴</t>
    <phoneticPr fontId="1"/>
  </si>
  <si>
    <t>鎦洪</t>
    <phoneticPr fontId="1"/>
  </si>
  <si>
    <t>劉完素</t>
    <phoneticPr fontId="1"/>
  </si>
  <si>
    <r>
      <t>嚴則庵纂輯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裘慶元輯</t>
    </r>
    <phoneticPr fontId="1"/>
  </si>
  <si>
    <r>
      <t>俞根初</t>
    </r>
    <r>
      <rPr>
        <sz val="8"/>
        <color rgb="FF333333"/>
        <rFont val="BIZ UDGothic"/>
        <family val="3"/>
        <charset val="128"/>
      </rPr>
      <t>撰，何廉臣重訂</t>
    </r>
    <phoneticPr fontId="1"/>
  </si>
  <si>
    <t>馬宗素</t>
    <phoneticPr fontId="1"/>
  </si>
  <si>
    <t>元</t>
    <phoneticPr fontId="1"/>
  </si>
  <si>
    <t>陶華</t>
    <phoneticPr fontId="1"/>
  </si>
  <si>
    <t>呂震名</t>
    <phoneticPr fontId="1"/>
  </si>
  <si>
    <t>成無己</t>
    <phoneticPr fontId="1"/>
  </si>
  <si>
    <t>李中梓</t>
    <phoneticPr fontId="1"/>
  </si>
  <si>
    <r>
      <t>柯琴著</t>
    </r>
    <r>
      <rPr>
        <sz val="8"/>
        <color rgb="FF333333"/>
        <rFont val="BIZ UDGothic"/>
        <family val="3"/>
        <charset val="128"/>
      </rPr>
      <t>，後人據任越庵手抄本刊行</t>
    </r>
    <phoneticPr fontId="1"/>
  </si>
  <si>
    <t>周學海</t>
    <phoneticPr fontId="1"/>
  </si>
  <si>
    <r>
      <t>許叔微</t>
    </r>
    <r>
      <rPr>
        <sz val="8"/>
        <color rgb="FF333333"/>
        <rFont val="BIZ UDGothic"/>
        <family val="3"/>
        <charset val="128"/>
      </rPr>
      <t>述</t>
    </r>
    <phoneticPr fontId="1"/>
  </si>
  <si>
    <t>汪琥</t>
    <phoneticPr fontId="1"/>
  </si>
  <si>
    <t>秦之楨</t>
    <phoneticPr fontId="1"/>
  </si>
  <si>
    <t>龐安石</t>
    <phoneticPr fontId="1"/>
  </si>
  <si>
    <t>楊濬</t>
    <phoneticPr fontId="1"/>
  </si>
  <si>
    <t>橘南谿</t>
    <phoneticPr fontId="1"/>
  </si>
  <si>
    <t>黃玉璐</t>
    <phoneticPr fontId="1"/>
  </si>
  <si>
    <t>張從正</t>
    <phoneticPr fontId="1"/>
  </si>
  <si>
    <t>張倬</t>
    <phoneticPr fontId="1"/>
  </si>
  <si>
    <t>程門雪</t>
    <phoneticPr fontId="1"/>
  </si>
  <si>
    <t>湯本求真</t>
    <phoneticPr fontId="1"/>
  </si>
  <si>
    <t>鄭壽全</t>
    <phoneticPr fontId="1"/>
  </si>
  <si>
    <t>許叔微</t>
    <phoneticPr fontId="1"/>
  </si>
  <si>
    <t>郭雍</t>
    <phoneticPr fontId="1"/>
  </si>
  <si>
    <t>徐大椿</t>
    <phoneticPr fontId="1"/>
  </si>
  <si>
    <t>包誠</t>
    <phoneticPr fontId="1"/>
  </si>
  <si>
    <t>川越正淑</t>
    <phoneticPr fontId="1"/>
  </si>
  <si>
    <t>陸懋修</t>
    <phoneticPr fontId="1"/>
  </si>
  <si>
    <t>萬全</t>
    <phoneticPr fontId="1"/>
  </si>
  <si>
    <t>劉純</t>
    <phoneticPr fontId="1"/>
  </si>
  <si>
    <t>後藤省</t>
    <phoneticPr fontId="1"/>
  </si>
  <si>
    <t>楊士瀛</t>
    <phoneticPr fontId="1"/>
  </si>
  <si>
    <r>
      <t>李知先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熊宗立</t>
    </r>
    <r>
      <rPr>
        <sz val="8"/>
        <color rgb="FF333333"/>
        <rFont val="BIZ UDGothic"/>
        <family val="3"/>
        <charset val="128"/>
      </rPr>
      <t>繪圖</t>
    </r>
    <phoneticPr fontId="1"/>
  </si>
  <si>
    <t>劉棟田良</t>
    <phoneticPr fontId="1"/>
  </si>
  <si>
    <t>漢</t>
    <phoneticPr fontId="1"/>
  </si>
  <si>
    <t>高學山</t>
    <phoneticPr fontId="1"/>
  </si>
  <si>
    <t>周揚俊</t>
    <phoneticPr fontId="1"/>
  </si>
  <si>
    <t>魏荔彤</t>
    <phoneticPr fontId="1"/>
  </si>
  <si>
    <t>李彣</t>
    <phoneticPr fontId="1"/>
  </si>
  <si>
    <r>
      <t>漢·</t>
    </r>
    <r>
      <rPr>
        <sz val="11"/>
        <color theme="1"/>
        <rFont val="游ゴシック"/>
        <family val="2"/>
        <charset val="128"/>
        <scheme val="minor"/>
      </rPr>
      <t>張仲景</t>
    </r>
    <r>
      <rPr>
        <sz val="8"/>
        <color rgb="FF333333"/>
        <rFont val="BIZ UDGothic"/>
        <family val="3"/>
        <charset val="128"/>
      </rPr>
      <t>撰，清·</t>
    </r>
    <r>
      <rPr>
        <sz val="11"/>
        <color theme="1"/>
        <rFont val="游ゴシック"/>
        <family val="2"/>
        <charset val="128"/>
        <scheme val="minor"/>
      </rPr>
      <t>陳修園</t>
    </r>
    <r>
      <rPr>
        <sz val="8"/>
        <color rgb="FF333333"/>
        <rFont val="BIZ UDGothic"/>
        <family val="3"/>
        <charset val="128"/>
      </rPr>
      <t>淺注，</t>
    </r>
    <r>
      <rPr>
        <sz val="11"/>
        <color theme="1"/>
        <rFont val="游ゴシック"/>
        <family val="2"/>
        <charset val="128"/>
        <scheme val="minor"/>
      </rPr>
      <t>唐容川</t>
    </r>
    <r>
      <rPr>
        <sz val="8"/>
        <color rgb="FF333333"/>
        <rFont val="BIZ UDGothic"/>
        <family val="3"/>
        <charset val="128"/>
      </rPr>
      <t>補正，</t>
    </r>
    <r>
      <rPr>
        <sz val="11"/>
        <color theme="1"/>
        <rFont val="游ゴシック"/>
        <family val="2"/>
        <charset val="128"/>
        <scheme val="minor"/>
      </rPr>
      <t>秦伯未</t>
    </r>
    <r>
      <rPr>
        <sz val="8"/>
        <color rgb="FF333333"/>
        <rFont val="BIZ UDGothic"/>
        <family val="3"/>
        <charset val="128"/>
      </rPr>
      <t>重校</t>
    </r>
    <phoneticPr fontId="1"/>
  </si>
  <si>
    <t>徐彬</t>
    <phoneticPr fontId="1"/>
  </si>
  <si>
    <t>曹穎甫</t>
    <phoneticPr fontId="1"/>
  </si>
  <si>
    <r>
      <t>葉桂</t>
    </r>
    <r>
      <rPr>
        <sz val="8"/>
        <color rgb="FF333333"/>
        <rFont val="BIZ UDGothic"/>
        <family val="3"/>
        <charset val="128"/>
      </rPr>
      <t>口述，門人</t>
    </r>
    <r>
      <rPr>
        <sz val="11"/>
        <color theme="1"/>
        <rFont val="游ゴシック"/>
        <family val="2"/>
        <charset val="128"/>
        <scheme val="minor"/>
      </rPr>
      <t>顧景文</t>
    </r>
    <r>
      <rPr>
        <sz val="8"/>
        <color rgb="FF333333"/>
        <rFont val="BIZ UDGothic"/>
        <family val="3"/>
        <charset val="128"/>
      </rPr>
      <t>等錄</t>
    </r>
    <phoneticPr fontId="1"/>
  </si>
  <si>
    <t>雷豐</t>
    <phoneticPr fontId="1"/>
  </si>
  <si>
    <t>柳寶詒</t>
    <phoneticPr fontId="1"/>
  </si>
  <si>
    <t>吳有性</t>
    <phoneticPr fontId="1"/>
  </si>
  <si>
    <t>張鳳逵</t>
    <phoneticPr fontId="1"/>
  </si>
  <si>
    <r>
      <t>戴天章</t>
    </r>
    <r>
      <rPr>
        <sz val="8"/>
        <color rgb="FF333333"/>
        <rFont val="BIZ UDGothic"/>
        <family val="3"/>
        <charset val="128"/>
      </rPr>
      <t>撰，陸懋修刪補，何廉臣重訂</t>
    </r>
    <phoneticPr fontId="1"/>
  </si>
  <si>
    <t>婁傑</t>
    <phoneticPr fontId="1"/>
  </si>
  <si>
    <t>葉桂</t>
    <phoneticPr fontId="1"/>
  </si>
  <si>
    <t>陳平伯</t>
    <phoneticPr fontId="1"/>
  </si>
  <si>
    <t>薛雪</t>
    <phoneticPr fontId="1"/>
  </si>
  <si>
    <t>吳塘</t>
    <phoneticPr fontId="1"/>
  </si>
  <si>
    <t>王德宣</t>
    <phoneticPr fontId="1"/>
  </si>
  <si>
    <t>沈麟</t>
    <phoneticPr fontId="1"/>
  </si>
  <si>
    <t>田宗漢</t>
    <phoneticPr fontId="1"/>
  </si>
  <si>
    <t>王旭高</t>
    <phoneticPr fontId="1"/>
  </si>
  <si>
    <t>陸子賢</t>
    <phoneticPr fontId="1"/>
  </si>
  <si>
    <t>周岩</t>
    <phoneticPr fontId="1"/>
  </si>
  <si>
    <t>馬宗元</t>
    <phoneticPr fontId="1"/>
  </si>
  <si>
    <t>吳瑞甫</t>
    <phoneticPr fontId="1"/>
  </si>
  <si>
    <t>秋吉質</t>
    <phoneticPr fontId="1"/>
  </si>
  <si>
    <t>戴天章</t>
    <phoneticPr fontId="1"/>
  </si>
  <si>
    <t>源元凱</t>
    <phoneticPr fontId="1"/>
  </si>
  <si>
    <t>丹徒李文榮冠仙</t>
    <phoneticPr fontId="1"/>
  </si>
  <si>
    <t>蔣樹杞</t>
    <phoneticPr fontId="1"/>
  </si>
  <si>
    <t>劉吉人</t>
    <phoneticPr fontId="1"/>
  </si>
  <si>
    <t>宋兆淇</t>
    <phoneticPr fontId="1"/>
  </si>
  <si>
    <t>周魁</t>
    <phoneticPr fontId="1"/>
  </si>
  <si>
    <t>余霖</t>
    <phoneticPr fontId="1"/>
  </si>
  <si>
    <t>李炳</t>
    <phoneticPr fontId="1"/>
  </si>
  <si>
    <t>鄒漢璜</t>
    <phoneticPr fontId="1"/>
  </si>
  <si>
    <t>郭志邃</t>
    <phoneticPr fontId="1"/>
  </si>
  <si>
    <t>鄭全望</t>
    <phoneticPr fontId="1"/>
  </si>
  <si>
    <t>劉奎</t>
    <phoneticPr fontId="1"/>
  </si>
  <si>
    <t>羅汝蘭</t>
    <phoneticPr fontId="1"/>
  </si>
  <si>
    <t>許志</t>
    <phoneticPr fontId="1"/>
  </si>
  <si>
    <t>羅振湘</t>
    <phoneticPr fontId="1"/>
  </si>
  <si>
    <t>劉裁吾</t>
    <phoneticPr fontId="1"/>
  </si>
  <si>
    <t>高島久貫</t>
    <phoneticPr fontId="1"/>
  </si>
  <si>
    <t>池田瑞仙</t>
    <phoneticPr fontId="1"/>
  </si>
  <si>
    <t>李識候</t>
    <phoneticPr fontId="1"/>
  </si>
  <si>
    <t>丁國瑞</t>
    <phoneticPr fontId="1"/>
  </si>
  <si>
    <t>林天佑</t>
    <phoneticPr fontId="1"/>
  </si>
  <si>
    <t>隨霖</t>
    <phoneticPr fontId="1"/>
  </si>
  <si>
    <t>陶弘景</t>
    <phoneticPr fontId="1"/>
  </si>
  <si>
    <t>南朝·梁</t>
    <phoneticPr fontId="1"/>
  </si>
  <si>
    <t>朱震亨</t>
    <phoneticPr fontId="1"/>
  </si>
  <si>
    <t>何夢瑤</t>
    <phoneticPr fontId="1"/>
  </si>
  <si>
    <t>虞傳</t>
    <phoneticPr fontId="1"/>
  </si>
  <si>
    <t>汪蘊谷</t>
    <phoneticPr fontId="1"/>
  </si>
  <si>
    <t>丹波元堅撰</t>
    <phoneticPr fontId="1"/>
  </si>
  <si>
    <t>李杲</t>
    <phoneticPr fontId="1"/>
  </si>
  <si>
    <t>王肯堂</t>
    <phoneticPr fontId="1"/>
  </si>
  <si>
    <t>唐宗海</t>
    <phoneticPr fontId="1"/>
  </si>
  <si>
    <t>陳歧</t>
    <phoneticPr fontId="1"/>
  </si>
  <si>
    <t>何其偉</t>
    <phoneticPr fontId="1"/>
  </si>
  <si>
    <t>蔣寶素</t>
    <phoneticPr fontId="1"/>
  </si>
  <si>
    <t>張拯滋</t>
    <phoneticPr fontId="1"/>
  </si>
  <si>
    <r>
      <t>葉桂</t>
    </r>
    <r>
      <rPr>
        <sz val="8"/>
        <color rgb="FF333333"/>
        <rFont val="BIZ UDGothic"/>
        <family val="3"/>
        <charset val="128"/>
      </rPr>
      <t>述，吳金壽校</t>
    </r>
    <phoneticPr fontId="1"/>
  </si>
  <si>
    <r>
      <t>李中梓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尤乘</t>
    </r>
    <r>
      <rPr>
        <sz val="8"/>
        <color rgb="FF333333"/>
        <rFont val="BIZ UDGothic"/>
        <family val="3"/>
        <charset val="128"/>
      </rPr>
      <t>增輯</t>
    </r>
    <phoneticPr fontId="1"/>
  </si>
  <si>
    <t>中川成章</t>
    <phoneticPr fontId="1"/>
  </si>
  <si>
    <t>大塜敬節</t>
    <phoneticPr fontId="1"/>
  </si>
  <si>
    <t>吳澄</t>
    <phoneticPr fontId="1"/>
  </si>
  <si>
    <t>周禮</t>
    <phoneticPr fontId="1"/>
  </si>
  <si>
    <t>梁玉瑜</t>
    <phoneticPr fontId="1"/>
  </si>
  <si>
    <t>睢州考城（今河南蘭考縣）</t>
    <phoneticPr fontId="1"/>
  </si>
  <si>
    <t>原著 淺田惟常</t>
    <phoneticPr fontId="1"/>
  </si>
  <si>
    <t>桂枝湯之腹證及後未校</t>
    <phoneticPr fontId="1"/>
  </si>
  <si>
    <t>地域 華陽</t>
    <phoneticPr fontId="1"/>
  </si>
  <si>
    <t>地域 真定（今河北省保定市）</t>
    <phoneticPr fontId="1"/>
  </si>
  <si>
    <t>此書為《傅青主女科》經校勘、補遺並加上歌訣</t>
    <phoneticPr fontId="1"/>
  </si>
  <si>
    <t>潘名熊</t>
    <phoneticPr fontId="1"/>
  </si>
  <si>
    <t>熊笏</t>
    <phoneticPr fontId="1"/>
  </si>
  <si>
    <t>何炫</t>
    <phoneticPr fontId="1"/>
  </si>
  <si>
    <t>胡慎柔</t>
    <phoneticPr fontId="1"/>
  </si>
  <si>
    <t>姜禮</t>
    <phoneticPr fontId="1"/>
  </si>
  <si>
    <t>洪煒</t>
    <phoneticPr fontId="1"/>
  </si>
  <si>
    <t>龔居中</t>
    <phoneticPr fontId="1"/>
  </si>
  <si>
    <t>葛可久</t>
    <phoneticPr fontId="1"/>
  </si>
  <si>
    <t>汪綺石</t>
    <phoneticPr fontId="1"/>
  </si>
  <si>
    <t>王好古</t>
    <phoneticPr fontId="1"/>
  </si>
  <si>
    <t>劉完素</t>
    <phoneticPr fontId="1"/>
  </si>
  <si>
    <t>蔡貽績</t>
    <phoneticPr fontId="1"/>
  </si>
  <si>
    <t>吳士瑛</t>
    <phoneticPr fontId="1"/>
  </si>
  <si>
    <t>岡田昌春等</t>
    <phoneticPr fontId="1"/>
  </si>
  <si>
    <t>今邨亮</t>
    <phoneticPr fontId="1"/>
  </si>
  <si>
    <t>廬之頤</t>
    <phoneticPr fontId="1"/>
  </si>
  <si>
    <t>周進安</t>
    <phoneticPr fontId="1"/>
  </si>
  <si>
    <t>傅山</t>
    <phoneticPr fontId="1"/>
  </si>
  <si>
    <t>武之望</t>
    <phoneticPr fontId="1"/>
  </si>
  <si>
    <r>
      <t>吳謙</t>
    </r>
    <r>
      <rPr>
        <sz val="8"/>
        <color rgb="FF333333"/>
        <rFont val="BIZ UDGothic"/>
        <family val="3"/>
        <charset val="128"/>
      </rPr>
      <t>等</t>
    </r>
    <phoneticPr fontId="1"/>
  </si>
  <si>
    <t>薛己</t>
    <phoneticPr fontId="1"/>
  </si>
  <si>
    <t>沈又彭</t>
    <phoneticPr fontId="1"/>
  </si>
  <si>
    <t>陳起</t>
    <phoneticPr fontId="1"/>
  </si>
  <si>
    <t>蕭山竹林寺僧</t>
    <phoneticPr fontId="1"/>
  </si>
  <si>
    <t>王春亭</t>
    <phoneticPr fontId="1"/>
  </si>
  <si>
    <t>龔廷賢</t>
    <phoneticPr fontId="1"/>
  </si>
  <si>
    <t>徐大椿</t>
    <phoneticPr fontId="1"/>
  </si>
  <si>
    <t>吳道源</t>
    <phoneticPr fontId="1"/>
  </si>
  <si>
    <t>馮兆張</t>
    <phoneticPr fontId="1"/>
  </si>
  <si>
    <t>輪印禪師</t>
    <phoneticPr fontId="1"/>
  </si>
  <si>
    <t>沈金鰲</t>
    <phoneticPr fontId="1"/>
  </si>
  <si>
    <t>凌德</t>
    <phoneticPr fontId="1"/>
  </si>
  <si>
    <t>趙獻可</t>
    <phoneticPr fontId="1"/>
  </si>
  <si>
    <t>王肯堂</t>
    <phoneticPr fontId="1"/>
  </si>
  <si>
    <t>鄭玉壇</t>
    <phoneticPr fontId="1"/>
  </si>
  <si>
    <t>黃朝坊</t>
    <phoneticPr fontId="1"/>
  </si>
  <si>
    <t>唐</t>
    <phoneticPr fontId="1"/>
  </si>
  <si>
    <t>片倉元周</t>
    <phoneticPr fontId="1"/>
  </si>
  <si>
    <t>魯伯嗣</t>
    <phoneticPr fontId="1"/>
  </si>
  <si>
    <t>汪機</t>
    <phoneticPr fontId="1"/>
  </si>
  <si>
    <t>孫思邈</t>
    <phoneticPr fontId="1"/>
  </si>
  <si>
    <t>1100-1170</t>
    <phoneticPr fontId="1"/>
  </si>
  <si>
    <t>495-499</t>
    <phoneticPr fontId="1"/>
  </si>
  <si>
    <t>1368-1644</t>
    <phoneticPr fontId="1"/>
  </si>
  <si>
    <t>1271-1368</t>
    <phoneticPr fontId="1"/>
  </si>
  <si>
    <t>方昌翰</t>
    <phoneticPr fontId="1"/>
  </si>
  <si>
    <t>葉其蓁</t>
    <phoneticPr fontId="1"/>
  </si>
  <si>
    <t>蕭塤</t>
    <phoneticPr fontId="1"/>
  </si>
  <si>
    <t>宋仲甫</t>
    <phoneticPr fontId="1"/>
  </si>
  <si>
    <t>齊仲甫</t>
    <phoneticPr fontId="1"/>
  </si>
  <si>
    <t>雪岩禪師</t>
    <phoneticPr fontId="1"/>
  </si>
  <si>
    <r>
      <t>薛古愚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鄭敷政</t>
    </r>
    <r>
      <rPr>
        <sz val="8"/>
        <color rgb="FF333333"/>
        <rFont val="BIZ UDGothic"/>
        <family val="3"/>
        <charset val="128"/>
      </rPr>
      <t>等編</t>
    </r>
    <phoneticPr fontId="1"/>
  </si>
  <si>
    <t>莊履嚴</t>
    <phoneticPr fontId="1"/>
  </si>
  <si>
    <t>周詒觀</t>
    <phoneticPr fontId="1"/>
  </si>
  <si>
    <t>賀龍驤</t>
    <phoneticPr fontId="1"/>
  </si>
  <si>
    <t>鄭玉壇</t>
    <phoneticPr fontId="1"/>
  </si>
  <si>
    <t>黃朝坊</t>
    <phoneticPr fontId="1"/>
  </si>
  <si>
    <r>
      <t>沈又彭</t>
    </r>
    <r>
      <rPr>
        <sz val="8"/>
        <color rgb="FF333333"/>
        <rFont val="BIZ UDGothic"/>
        <family val="3"/>
        <charset val="128"/>
      </rPr>
      <t>原輯，</t>
    </r>
    <r>
      <rPr>
        <sz val="11"/>
        <color theme="1"/>
        <rFont val="游ゴシック"/>
        <family val="2"/>
        <charset val="128"/>
        <scheme val="minor"/>
      </rPr>
      <t>張壽頤</t>
    </r>
    <r>
      <rPr>
        <sz val="8"/>
        <color rgb="FF333333"/>
        <rFont val="BIZ UDGothic"/>
        <family val="3"/>
        <charset val="128"/>
      </rPr>
      <t>箋疏</t>
    </r>
    <phoneticPr fontId="1"/>
  </si>
  <si>
    <t>柴得華</t>
    <phoneticPr fontId="1"/>
  </si>
  <si>
    <t>浙江蕭山竹林寺僧</t>
    <phoneticPr fontId="1"/>
  </si>
  <si>
    <t>程門雪</t>
    <phoneticPr fontId="1"/>
  </si>
  <si>
    <t>昝殷</t>
    <phoneticPr fontId="1"/>
  </si>
  <si>
    <t>單南山</t>
    <phoneticPr fontId="1"/>
  </si>
  <si>
    <t>施澹寧</t>
    <phoneticPr fontId="1"/>
  </si>
  <si>
    <t>王化貞</t>
    <phoneticPr fontId="1"/>
  </si>
  <si>
    <t>道先氏</t>
    <phoneticPr fontId="1"/>
  </si>
  <si>
    <t>陳笏庵</t>
    <phoneticPr fontId="1"/>
  </si>
  <si>
    <t>亟齋居士</t>
    <phoneticPr fontId="1"/>
  </si>
  <si>
    <t>朱端章</t>
    <phoneticPr fontId="1"/>
  </si>
  <si>
    <t>倪枝維</t>
    <phoneticPr fontId="1"/>
  </si>
  <si>
    <t>閻純璽</t>
    <phoneticPr fontId="1"/>
  </si>
  <si>
    <t>張曜孫</t>
    <phoneticPr fontId="1"/>
  </si>
  <si>
    <t>袁于江</t>
    <phoneticPr fontId="1"/>
  </si>
  <si>
    <t>賀川玄悅</t>
    <phoneticPr fontId="1"/>
  </si>
  <si>
    <t>片倉元周</t>
    <phoneticPr fontId="1"/>
  </si>
  <si>
    <t>賀川玄迪</t>
    <phoneticPr fontId="1"/>
  </si>
  <si>
    <r>
      <t>原著者</t>
    </r>
    <r>
      <rPr>
        <sz val="11"/>
        <color theme="1"/>
        <rFont val="游ゴシック"/>
        <family val="2"/>
        <charset val="128"/>
        <scheme val="minor"/>
      </rPr>
      <t>不詳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徐明善</t>
    </r>
    <r>
      <rPr>
        <sz val="8"/>
        <color rgb="FF333333"/>
        <rFont val="BIZ UDGothic"/>
        <family val="3"/>
        <charset val="128"/>
      </rPr>
      <t>校正</t>
    </r>
    <phoneticPr fontId="1"/>
  </si>
  <si>
    <t>俞橋</t>
    <phoneticPr fontId="1"/>
  </si>
  <si>
    <r>
      <t>汪和鼎</t>
    </r>
    <r>
      <rPr>
        <sz val="8"/>
        <color rgb="FF333333"/>
        <rFont val="BIZ UDGothic"/>
        <family val="3"/>
        <charset val="128"/>
      </rPr>
      <t>整理自</t>
    </r>
    <r>
      <rPr>
        <sz val="11"/>
        <color theme="1"/>
        <rFont val="游ゴシック"/>
        <family val="2"/>
        <charset val="128"/>
        <scheme val="minor"/>
      </rPr>
      <t>張介賓</t>
    </r>
    <r>
      <rPr>
        <sz val="8"/>
        <color rgb="FF333333"/>
        <rFont val="BIZ UDGothic"/>
        <family val="3"/>
        <charset val="128"/>
      </rPr>
      <t>之論述</t>
    </r>
    <phoneticPr fontId="1"/>
  </si>
  <si>
    <t>陶本學</t>
    <phoneticPr fontId="1"/>
  </si>
  <si>
    <t>萬全</t>
    <phoneticPr fontId="1"/>
  </si>
  <si>
    <t>唐千頃</t>
    <phoneticPr fontId="1"/>
  </si>
  <si>
    <r>
      <t>雪巖禪師</t>
    </r>
    <r>
      <rPr>
        <sz val="8"/>
        <color rgb="FF333333"/>
        <rFont val="BIZ UDGothic"/>
        <family val="3"/>
        <charset val="128"/>
      </rPr>
      <t>纂輯，</t>
    </r>
    <r>
      <rPr>
        <sz val="11"/>
        <color theme="1"/>
        <rFont val="游ゴシック"/>
        <family val="2"/>
        <charset val="128"/>
        <scheme val="minor"/>
      </rPr>
      <t>靜光輪應禪師</t>
    </r>
    <r>
      <rPr>
        <sz val="8"/>
        <color rgb="FF333333"/>
        <rFont val="BIZ UDGothic"/>
        <family val="3"/>
        <charset val="128"/>
      </rPr>
      <t>考定</t>
    </r>
    <phoneticPr fontId="1"/>
  </si>
  <si>
    <t>沈金鰲</t>
    <phoneticPr fontId="1"/>
  </si>
  <si>
    <t>盧光履</t>
    <phoneticPr fontId="1"/>
  </si>
  <si>
    <t>曾世榮</t>
    <phoneticPr fontId="1"/>
  </si>
  <si>
    <t>芝嶼樵客</t>
    <phoneticPr fontId="1"/>
  </si>
  <si>
    <t>周士禰</t>
    <phoneticPr fontId="1"/>
  </si>
  <si>
    <t>劉昉</t>
    <phoneticPr fontId="1"/>
  </si>
  <si>
    <t>夏鼎</t>
    <phoneticPr fontId="1"/>
  </si>
  <si>
    <t>陳守真</t>
    <phoneticPr fontId="1"/>
  </si>
  <si>
    <t>陳復正</t>
    <phoneticPr fontId="1"/>
  </si>
  <si>
    <t>王鑾</t>
    <phoneticPr fontId="1"/>
  </si>
  <si>
    <t>薛鎧</t>
    <phoneticPr fontId="1"/>
  </si>
  <si>
    <t>周震</t>
    <phoneticPr fontId="1"/>
  </si>
  <si>
    <t>秦昌遇</t>
    <phoneticPr fontId="1"/>
  </si>
  <si>
    <t>錢乙</t>
    <phoneticPr fontId="1"/>
  </si>
  <si>
    <t>程雲鵬</t>
    <phoneticPr fontId="1"/>
  </si>
  <si>
    <t>王錫鑫</t>
    <phoneticPr fontId="1"/>
  </si>
  <si>
    <t>王大倫</t>
    <phoneticPr fontId="1"/>
  </si>
  <si>
    <r>
      <t>撰人不詳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薛己</t>
    </r>
    <r>
      <rPr>
        <sz val="8"/>
        <color rgb="FF333333"/>
        <rFont val="BIZ UDGothic"/>
        <family val="3"/>
        <charset val="128"/>
      </rPr>
      <t>注</t>
    </r>
    <phoneticPr fontId="1"/>
  </si>
  <si>
    <t>彭用光</t>
    <phoneticPr fontId="1"/>
  </si>
  <si>
    <t>張昶</t>
    <phoneticPr fontId="1"/>
  </si>
  <si>
    <t>孟繼孔</t>
    <phoneticPr fontId="1"/>
  </si>
  <si>
    <t>下津壽泉</t>
    <phoneticPr fontId="1"/>
  </si>
  <si>
    <t>大塜敬節</t>
    <phoneticPr fontId="1"/>
  </si>
  <si>
    <t>張霞谿</t>
    <phoneticPr fontId="1"/>
  </si>
  <si>
    <t>謝玉瓊</t>
    <phoneticPr fontId="1"/>
  </si>
  <si>
    <t>葉霖</t>
    <phoneticPr fontId="1"/>
  </si>
  <si>
    <r>
      <t>鄞縣袁氏</t>
    </r>
    <r>
      <rPr>
        <sz val="8"/>
        <color rgb="FF333333"/>
        <rFont val="BIZ UDGothic"/>
        <family val="3"/>
        <charset val="128"/>
      </rPr>
      <t>撰</t>
    </r>
    <phoneticPr fontId="1"/>
  </si>
  <si>
    <t>凌德</t>
    <phoneticPr fontId="1"/>
  </si>
  <si>
    <t>陳文中</t>
    <phoneticPr fontId="1"/>
  </si>
  <si>
    <t>吳硯丞</t>
    <phoneticPr fontId="1"/>
  </si>
  <si>
    <t>文起</t>
    <phoneticPr fontId="1"/>
  </si>
  <si>
    <t>樓擁千</t>
    <phoneticPr fontId="1"/>
  </si>
  <si>
    <t>武之望</t>
    <phoneticPr fontId="1"/>
  </si>
  <si>
    <t>喻昌</t>
    <phoneticPr fontId="1"/>
  </si>
  <si>
    <t>熊應雄</t>
    <phoneticPr fontId="1"/>
  </si>
  <si>
    <t>駱如龍</t>
    <phoneticPr fontId="1"/>
  </si>
  <si>
    <t>孫思邈</t>
    <phoneticPr fontId="1"/>
  </si>
  <si>
    <t>徐謙</t>
    <phoneticPr fontId="1"/>
  </si>
  <si>
    <t>惲鐵樵</t>
    <phoneticPr fontId="1"/>
  </si>
  <si>
    <t>許克昌</t>
    <phoneticPr fontId="1"/>
  </si>
  <si>
    <t>程國彭</t>
    <phoneticPr fontId="1"/>
  </si>
  <si>
    <t>東軒居士</t>
    <phoneticPr fontId="1"/>
  </si>
  <si>
    <t>趙宜真</t>
    <phoneticPr fontId="1"/>
  </si>
  <si>
    <t>元末明初</t>
    <phoneticPr fontId="1"/>
  </si>
  <si>
    <t>齊德之</t>
    <phoneticPr fontId="1"/>
  </si>
  <si>
    <t>周文采</t>
    <phoneticPr fontId="1"/>
  </si>
  <si>
    <t>馬培之</t>
    <phoneticPr fontId="1"/>
  </si>
  <si>
    <t>高思敬</t>
    <phoneticPr fontId="1"/>
  </si>
  <si>
    <t>祁坤</t>
    <phoneticPr fontId="1"/>
  </si>
  <si>
    <t>陳自明</t>
    <phoneticPr fontId="1"/>
  </si>
  <si>
    <t>顧世澄</t>
    <phoneticPr fontId="1"/>
  </si>
  <si>
    <t>陳實功</t>
    <phoneticPr fontId="1"/>
  </si>
  <si>
    <t>唐黌</t>
    <phoneticPr fontId="1"/>
  </si>
  <si>
    <t>凌奐</t>
    <phoneticPr fontId="1"/>
  </si>
  <si>
    <t>王洪緒</t>
    <phoneticPr fontId="1"/>
  </si>
  <si>
    <t>張覺人</t>
    <phoneticPr fontId="1"/>
  </si>
  <si>
    <t>申拱辰</t>
    <phoneticPr fontId="1"/>
  </si>
  <si>
    <t>易鳳翥</t>
    <phoneticPr fontId="1"/>
  </si>
  <si>
    <t>陳士鐸</t>
    <phoneticPr fontId="1"/>
  </si>
  <si>
    <t>李子毅</t>
    <phoneticPr fontId="1"/>
  </si>
  <si>
    <t>張壽頤</t>
    <phoneticPr fontId="1"/>
  </si>
  <si>
    <t>沈之問</t>
    <phoneticPr fontId="1"/>
  </si>
  <si>
    <t>楊成博</t>
    <phoneticPr fontId="1"/>
  </si>
  <si>
    <t>李迅</t>
    <phoneticPr fontId="1"/>
  </si>
  <si>
    <t>龔慶宣</t>
    <phoneticPr fontId="1"/>
  </si>
  <si>
    <t>南朝·齊</t>
    <phoneticPr fontId="1"/>
  </si>
  <si>
    <t>肖曉亭</t>
    <phoneticPr fontId="1"/>
  </si>
  <si>
    <t>高秉鈞</t>
    <phoneticPr fontId="1"/>
  </si>
  <si>
    <t>謝應材</t>
    <phoneticPr fontId="1"/>
  </si>
  <si>
    <t>陶華</t>
    <phoneticPr fontId="1"/>
  </si>
  <si>
    <t>大橋尚因</t>
    <phoneticPr fontId="1"/>
  </si>
  <si>
    <t>趙濂</t>
    <phoneticPr fontId="1"/>
  </si>
  <si>
    <t>異遠真人</t>
    <phoneticPr fontId="1"/>
  </si>
  <si>
    <t>胡廷光</t>
    <phoneticPr fontId="1"/>
  </si>
  <si>
    <t>錢潢</t>
    <phoneticPr fontId="1"/>
  </si>
  <si>
    <t>胡青崑</t>
    <phoneticPr fontId="1"/>
  </si>
  <si>
    <t>江考卿</t>
    <phoneticPr fontId="1"/>
  </si>
  <si>
    <t>二宮獻</t>
    <phoneticPr fontId="1"/>
  </si>
  <si>
    <t>倪維德</t>
    <phoneticPr fontId="1"/>
  </si>
  <si>
    <r>
      <t>無名氏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楊希洛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夏惟勤</t>
    </r>
    <r>
      <rPr>
        <sz val="8"/>
        <color rgb="FF333333"/>
        <rFont val="BIZ UDGothic"/>
        <family val="3"/>
        <charset val="128"/>
      </rPr>
      <t>整理</t>
    </r>
    <phoneticPr fontId="1"/>
  </si>
  <si>
    <t>葆光道人</t>
    <phoneticPr fontId="1"/>
  </si>
  <si>
    <t>本庄俊篤</t>
    <phoneticPr fontId="1"/>
  </si>
  <si>
    <r>
      <t>黃庭鏡</t>
    </r>
    <r>
      <rPr>
        <sz val="8"/>
        <color rgb="FF333333"/>
        <rFont val="BIZ UDGothic"/>
        <family val="3"/>
        <charset val="128"/>
      </rPr>
      <t>草成此書，此後四易其稿，但未付梓。弟子鄧學禮得悉此書後於嘉慶十年刊行</t>
    </r>
    <phoneticPr fontId="1"/>
  </si>
  <si>
    <t>鄧苑</t>
    <phoneticPr fontId="1"/>
  </si>
  <si>
    <t>傅仁宇</t>
    <phoneticPr fontId="1"/>
  </si>
  <si>
    <t>顧錫</t>
    <phoneticPr fontId="1"/>
  </si>
  <si>
    <t>鄭梅澗</t>
    <phoneticPr fontId="1"/>
  </si>
  <si>
    <t>方成培</t>
    <phoneticPr fontId="1"/>
  </si>
  <si>
    <t>黃真人</t>
    <phoneticPr fontId="1"/>
  </si>
  <si>
    <t>陳葆善</t>
    <phoneticPr fontId="1"/>
  </si>
  <si>
    <t>尤仲仁</t>
    <phoneticPr fontId="1"/>
  </si>
  <si>
    <t>尤乘</t>
    <phoneticPr fontId="1"/>
  </si>
  <si>
    <t>張宗良</t>
    <phoneticPr fontId="1"/>
  </si>
  <si>
    <t>包三述</t>
    <phoneticPr fontId="1"/>
  </si>
  <si>
    <r>
      <t>張宋良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吳氏</t>
    </r>
    <phoneticPr fontId="1"/>
  </si>
  <si>
    <t>李紀方</t>
    <phoneticPr fontId="1"/>
  </si>
  <si>
    <t>沈青芝</t>
    <phoneticPr fontId="1"/>
  </si>
  <si>
    <t>1644-1911</t>
    <phoneticPr fontId="1"/>
  </si>
  <si>
    <t>479-502</t>
    <phoneticPr fontId="1"/>
  </si>
  <si>
    <t>許槤</t>
    <phoneticPr fontId="1"/>
  </si>
  <si>
    <t>楊龍九</t>
    <phoneticPr fontId="1"/>
  </si>
  <si>
    <t>王裕慶</t>
    <phoneticPr fontId="1"/>
  </si>
  <si>
    <t>馬渭齡</t>
    <phoneticPr fontId="1"/>
  </si>
  <si>
    <t>袁仁賢</t>
    <phoneticPr fontId="1"/>
  </si>
  <si>
    <t>沈善兼</t>
    <phoneticPr fontId="1"/>
  </si>
  <si>
    <t>刁步忠</t>
    <phoneticPr fontId="1"/>
  </si>
  <si>
    <t>張虛靖</t>
    <phoneticPr fontId="1"/>
  </si>
  <si>
    <t>陳直</t>
    <phoneticPr fontId="1"/>
  </si>
  <si>
    <t>徐文弼</t>
    <phoneticPr fontId="1"/>
  </si>
  <si>
    <t>天休子</t>
    <phoneticPr fontId="1"/>
  </si>
  <si>
    <t>吳正倫</t>
    <phoneticPr fontId="1"/>
  </si>
  <si>
    <t>馬齊</t>
    <phoneticPr fontId="1"/>
  </si>
  <si>
    <t>尤乘</t>
    <phoneticPr fontId="1"/>
  </si>
  <si>
    <t>汪東亭</t>
    <phoneticPr fontId="1"/>
  </si>
  <si>
    <t>江涵（日敦）</t>
    <phoneticPr fontId="1"/>
  </si>
  <si>
    <t>周涇</t>
    <phoneticPr fontId="1"/>
  </si>
  <si>
    <t>混沌子</t>
    <phoneticPr fontId="1"/>
  </si>
  <si>
    <t>李鵬飛</t>
    <phoneticPr fontId="1"/>
  </si>
  <si>
    <t>汪汝懋</t>
    <phoneticPr fontId="1"/>
  </si>
  <si>
    <t>河濱丈人</t>
    <phoneticPr fontId="1"/>
  </si>
  <si>
    <t>青浦諸君子</t>
    <phoneticPr fontId="1"/>
  </si>
  <si>
    <t>李湯卿</t>
    <phoneticPr fontId="1"/>
  </si>
  <si>
    <t>周守忠</t>
    <phoneticPr fontId="1"/>
  </si>
  <si>
    <t>王蔡</t>
    <phoneticPr fontId="1"/>
  </si>
  <si>
    <r>
      <t>宋·</t>
    </r>
    <r>
      <rPr>
        <sz val="11"/>
        <color theme="1"/>
        <rFont val="游ゴシック"/>
        <family val="2"/>
        <charset val="128"/>
        <scheme val="minor"/>
      </rPr>
      <t>陳直</t>
    </r>
    <r>
      <rPr>
        <sz val="8"/>
        <color rgb="FF333333"/>
        <rFont val="BIZ UDGothic"/>
        <family val="3"/>
        <charset val="128"/>
      </rPr>
      <t>著，元·</t>
    </r>
    <r>
      <rPr>
        <sz val="11"/>
        <color theme="1"/>
        <rFont val="游ゴシック"/>
        <family val="2"/>
        <charset val="128"/>
        <scheme val="minor"/>
      </rPr>
      <t>鄒鉉</t>
    </r>
    <r>
      <rPr>
        <sz val="8"/>
        <color rgb="FF333333"/>
        <rFont val="BIZ UDGothic"/>
        <family val="3"/>
        <charset val="128"/>
      </rPr>
      <t>續增</t>
    </r>
    <phoneticPr fontId="1"/>
  </si>
  <si>
    <t>陳直、鄒鉉、黃應紫</t>
    <phoneticPr fontId="1"/>
  </si>
  <si>
    <t>巢元方</t>
    <phoneticPr fontId="1"/>
  </si>
  <si>
    <t>隋</t>
    <phoneticPr fontId="1"/>
  </si>
  <si>
    <r>
      <t>汪啟聖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汪啟賢</t>
    </r>
    <phoneticPr fontId="1"/>
  </si>
  <si>
    <t>項揚惠、吳德華、張鑑若、曹江整理</t>
    <phoneticPr fontId="1"/>
  </si>
  <si>
    <t>忽思慧</t>
    <phoneticPr fontId="1"/>
  </si>
  <si>
    <t>鐵峰居士</t>
    <phoneticPr fontId="1"/>
  </si>
  <si>
    <r>
      <t>胡文煥</t>
    </r>
    <r>
      <rPr>
        <sz val="8"/>
        <color rgb="FF333333"/>
        <rFont val="BIZ UDGothic"/>
        <family val="3"/>
        <charset val="128"/>
      </rPr>
      <t>編</t>
    </r>
    <phoneticPr fontId="1"/>
  </si>
  <si>
    <t>賈銘</t>
    <phoneticPr fontId="1"/>
  </si>
  <si>
    <t>章穆</t>
    <phoneticPr fontId="1"/>
  </si>
  <si>
    <t>穆世錫</t>
    <phoneticPr fontId="1"/>
  </si>
  <si>
    <t>程鵬程</t>
    <phoneticPr fontId="1"/>
  </si>
  <si>
    <t>吳師機</t>
    <phoneticPr fontId="1"/>
  </si>
  <si>
    <t>北山友松子</t>
    <phoneticPr fontId="1"/>
  </si>
  <si>
    <t>淺田宗伯</t>
    <phoneticPr fontId="1"/>
  </si>
  <si>
    <t>吳塘</t>
    <phoneticPr fontId="1"/>
  </si>
  <si>
    <t>邵蘭蓀</t>
    <phoneticPr fontId="1"/>
  </si>
  <si>
    <r>
      <t>清</t>
    </r>
    <r>
      <rPr>
        <sz val="8"/>
        <color rgb="FF333333"/>
        <rFont val="BIZ UDGothic"/>
        <family val="3"/>
        <charset val="128"/>
      </rPr>
      <t>末</t>
    </r>
    <r>
      <rPr>
        <sz val="11"/>
        <color theme="1"/>
        <rFont val="游ゴシック"/>
        <family val="2"/>
        <charset val="128"/>
        <scheme val="minor"/>
      </rPr>
      <t>民</t>
    </r>
    <r>
      <rPr>
        <sz val="8"/>
        <color rgb="FF333333"/>
        <rFont val="BIZ UDGothic"/>
        <family val="3"/>
        <charset val="128"/>
      </rPr>
      <t>初</t>
    </r>
    <phoneticPr fontId="1"/>
  </si>
  <si>
    <t>何游</t>
    <phoneticPr fontId="1"/>
  </si>
  <si>
    <t>張聿青</t>
    <phoneticPr fontId="1"/>
  </si>
  <si>
    <t>袁焯</t>
    <phoneticPr fontId="1"/>
  </si>
  <si>
    <t>沈源</t>
    <phoneticPr fontId="1"/>
  </si>
  <si>
    <t>葉桂</t>
    <phoneticPr fontId="1"/>
  </si>
  <si>
    <t>王旭高</t>
    <phoneticPr fontId="1"/>
  </si>
  <si>
    <t>喻昌</t>
    <phoneticPr fontId="1"/>
  </si>
  <si>
    <t>許恩普</t>
    <phoneticPr fontId="1"/>
  </si>
  <si>
    <t>清末</t>
    <phoneticPr fontId="1"/>
  </si>
  <si>
    <t>馬培之</t>
    <phoneticPr fontId="1"/>
  </si>
  <si>
    <t>孫一奎</t>
    <phoneticPr fontId="1"/>
  </si>
  <si>
    <t>魏之琇</t>
    <phoneticPr fontId="1"/>
  </si>
  <si>
    <t>程文囿</t>
    <phoneticPr fontId="1"/>
  </si>
  <si>
    <t>吳金壽</t>
    <phoneticPr fontId="1"/>
  </si>
  <si>
    <t>柳寶詒</t>
    <phoneticPr fontId="1"/>
  </si>
  <si>
    <r>
      <t>葉桂</t>
    </r>
    <r>
      <rPr>
        <sz val="8"/>
        <color rgb="FF333333"/>
        <rFont val="BIZ UDGothic"/>
        <family val="3"/>
        <charset val="128"/>
      </rPr>
      <t>撰，郭維浚編</t>
    </r>
    <phoneticPr fontId="1"/>
  </si>
  <si>
    <t>丁甘仁</t>
    <phoneticPr fontId="1"/>
  </si>
  <si>
    <t>曹存心</t>
    <phoneticPr fontId="1"/>
  </si>
  <si>
    <t>張畹香</t>
    <phoneticPr fontId="1"/>
  </si>
  <si>
    <t>也是山人</t>
    <phoneticPr fontId="1"/>
  </si>
  <si>
    <t>顧蔓雲</t>
    <phoneticPr fontId="1"/>
  </si>
  <si>
    <t>陳匊生</t>
    <phoneticPr fontId="1"/>
  </si>
  <si>
    <t>王三尊</t>
    <phoneticPr fontId="1"/>
  </si>
  <si>
    <t>鄭重光</t>
    <phoneticPr fontId="1"/>
  </si>
  <si>
    <t>沈璠</t>
    <phoneticPr fontId="1"/>
  </si>
  <si>
    <t>邵蘭生</t>
    <phoneticPr fontId="1"/>
  </si>
  <si>
    <t>薛雪</t>
    <phoneticPr fontId="1"/>
  </si>
  <si>
    <t>沈登階</t>
    <phoneticPr fontId="1"/>
  </si>
  <si>
    <t>姜成芝</t>
    <phoneticPr fontId="1"/>
  </si>
  <si>
    <t>黃述寧</t>
    <phoneticPr fontId="1"/>
  </si>
  <si>
    <r>
      <t>謝星煥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謝甘澍</t>
    </r>
    <r>
      <rPr>
        <sz val="8"/>
        <color rgb="FF333333"/>
        <rFont val="BIZ UDGothic"/>
        <family val="3"/>
        <charset val="128"/>
      </rPr>
      <t>整理</t>
    </r>
    <phoneticPr fontId="1"/>
  </si>
  <si>
    <t>陳莘田</t>
    <phoneticPr fontId="1"/>
  </si>
  <si>
    <t>秦昌遇</t>
    <phoneticPr fontId="1"/>
  </si>
  <si>
    <t>曹穎甫</t>
    <phoneticPr fontId="1"/>
  </si>
  <si>
    <t>俞震</t>
    <phoneticPr fontId="1"/>
  </si>
  <si>
    <r>
      <t>王士雄</t>
    </r>
    <r>
      <rPr>
        <sz val="8"/>
        <color rgb="FF333333"/>
        <rFont val="BIZ UDGothic"/>
        <family val="3"/>
        <charset val="128"/>
      </rPr>
      <t>選</t>
    </r>
    <phoneticPr fontId="1"/>
  </si>
  <si>
    <t>齊有堂</t>
    <phoneticPr fontId="1"/>
  </si>
  <si>
    <t>繆遵義</t>
    <phoneticPr fontId="1"/>
  </si>
  <si>
    <t>王九峰</t>
    <phoneticPr fontId="1"/>
  </si>
  <si>
    <r>
      <t>葉桂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葉萬青</t>
    </r>
    <r>
      <rPr>
        <sz val="8"/>
        <color rgb="FF333333"/>
        <rFont val="BIZ UDGothic"/>
        <family val="3"/>
        <charset val="128"/>
      </rPr>
      <t>校正</t>
    </r>
    <phoneticPr fontId="1"/>
  </si>
  <si>
    <r>
      <t>薛己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錢臨</t>
    </r>
    <r>
      <rPr>
        <sz val="8"/>
        <color rgb="FF333333"/>
        <rFont val="BIZ UDGothic"/>
        <family val="3"/>
        <charset val="128"/>
      </rPr>
      <t>疏</t>
    </r>
    <phoneticPr fontId="1"/>
  </si>
  <si>
    <t>王士雄</t>
    <phoneticPr fontId="1"/>
  </si>
  <si>
    <r>
      <t>王士雄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張鴻</t>
    </r>
    <r>
      <rPr>
        <sz val="8"/>
        <color rgb="FF333333"/>
        <rFont val="BIZ UDGothic"/>
        <family val="3"/>
        <charset val="128"/>
      </rPr>
      <t>輯</t>
    </r>
    <phoneticPr fontId="1"/>
  </si>
  <si>
    <r>
      <t>王士雄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徐亞枝</t>
    </r>
    <r>
      <rPr>
        <sz val="8"/>
        <color rgb="FF333333"/>
        <rFont val="BIZ UDGothic"/>
        <family val="3"/>
        <charset val="128"/>
      </rPr>
      <t>輯</t>
    </r>
    <phoneticPr fontId="1"/>
  </si>
  <si>
    <t>任鍚庚</t>
    <phoneticPr fontId="1"/>
  </si>
  <si>
    <t>徐大椿</t>
    <phoneticPr fontId="1"/>
  </si>
  <si>
    <t>汪機</t>
    <phoneticPr fontId="1"/>
  </si>
  <si>
    <t>陳士鐸</t>
    <phoneticPr fontId="1"/>
  </si>
  <si>
    <t>尤怡</t>
    <phoneticPr fontId="1"/>
  </si>
  <si>
    <t>姚龍光</t>
    <phoneticPr fontId="1"/>
  </si>
  <si>
    <t>李豫亨</t>
    <phoneticPr fontId="1"/>
  </si>
  <si>
    <r>
      <t>薛雪（薛生白）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清·吳金壽子音</t>
    </r>
    <r>
      <rPr>
        <sz val="8"/>
        <color rgb="FF333333"/>
        <rFont val="BIZ UDGothic"/>
        <family val="3"/>
        <charset val="128"/>
      </rPr>
      <t>篡</t>
    </r>
    <phoneticPr fontId="1"/>
  </si>
  <si>
    <t>近藤明</t>
    <phoneticPr fontId="1"/>
  </si>
  <si>
    <t>朱震亨</t>
    <phoneticPr fontId="1"/>
  </si>
  <si>
    <t>元</t>
    <phoneticPr fontId="1"/>
  </si>
  <si>
    <t>張魯峰</t>
    <phoneticPr fontId="1"/>
  </si>
  <si>
    <t>陸以湉</t>
    <phoneticPr fontId="1"/>
  </si>
  <si>
    <t>145-208</t>
    <phoneticPr fontId="1"/>
  </si>
  <si>
    <t>1577-1644</t>
    <phoneticPr fontId="1"/>
  </si>
  <si>
    <t>地域 真定（今河北省保定市）</t>
    <phoneticPr fontId="1"/>
  </si>
  <si>
    <t>黃凱鈞</t>
    <phoneticPr fontId="1"/>
  </si>
  <si>
    <t>王士維</t>
    <phoneticPr fontId="1"/>
  </si>
  <si>
    <t>計楠</t>
    <phoneticPr fontId="1"/>
  </si>
  <si>
    <t>毛祥麟</t>
    <phoneticPr fontId="1"/>
  </si>
  <si>
    <t>莫文泉</t>
    <phoneticPr fontId="1"/>
  </si>
  <si>
    <t>石壽堂</t>
    <phoneticPr fontId="1"/>
  </si>
  <si>
    <t>唐大烈</t>
    <phoneticPr fontId="1"/>
  </si>
  <si>
    <t>張志聰</t>
    <phoneticPr fontId="1"/>
  </si>
  <si>
    <t>孟今氏</t>
    <phoneticPr fontId="1"/>
  </si>
  <si>
    <t>馮元成</t>
    <phoneticPr fontId="1"/>
  </si>
  <si>
    <t>王履</t>
    <phoneticPr fontId="1"/>
  </si>
  <si>
    <t>趙晴初</t>
    <phoneticPr fontId="1"/>
  </si>
  <si>
    <t>地域 真定（今河北省保定市）</t>
    <phoneticPr fontId="1"/>
  </si>
  <si>
    <t>地域 睢州考城（今河南蘭考縣）</t>
    <phoneticPr fontId="1"/>
  </si>
  <si>
    <t>民國14</t>
  </si>
  <si>
    <t>1519-1559</t>
    <phoneticPr fontId="1"/>
  </si>
  <si>
    <t>https://jicheng.tw/tcm/book/%E6%99%AE%E6%BF%9F%E6%96%B9/%E6%99%AE%E6%BF%9F%E6%96%B9/index.html</t>
    <phoneticPr fontId="1"/>
  </si>
  <si>
    <t>普濟方·嬰孩門</t>
    <phoneticPr fontId="1"/>
  </si>
  <si>
    <t>普済方·嬰孩門</t>
    <phoneticPr fontId="1"/>
  </si>
  <si>
    <t>普済方</t>
    <phoneticPr fontId="1"/>
  </si>
  <si>
    <t>張杲</t>
    <phoneticPr fontId="1"/>
  </si>
  <si>
    <t>俞弁</t>
    <phoneticPr fontId="1"/>
  </si>
  <si>
    <t>戴思恭</t>
    <phoneticPr fontId="1"/>
  </si>
  <si>
    <t>褚澄</t>
    <phoneticPr fontId="1"/>
  </si>
  <si>
    <t>臧達德</t>
    <phoneticPr fontId="1"/>
  </si>
  <si>
    <t>祝登元</t>
    <phoneticPr fontId="1"/>
  </si>
  <si>
    <t>章楠</t>
    <phoneticPr fontId="1"/>
  </si>
  <si>
    <t>長尾藻城</t>
    <phoneticPr fontId="1"/>
  </si>
  <si>
    <r>
      <t>徐大椿</t>
    </r>
    <r>
      <rPr>
        <sz val="8"/>
        <color rgb="FF333333"/>
        <rFont val="BIZ UDGothic"/>
        <family val="3"/>
        <charset val="128"/>
      </rPr>
      <t>原撰，</t>
    </r>
    <r>
      <rPr>
        <sz val="11"/>
        <color theme="1"/>
        <rFont val="游ゴシック"/>
        <family val="2"/>
        <charset val="128"/>
        <scheme val="minor"/>
      </rPr>
      <t>王士雄</t>
    </r>
    <r>
      <rPr>
        <sz val="8"/>
        <color rgb="FF333333"/>
        <rFont val="BIZ UDGothic"/>
        <family val="3"/>
        <charset val="128"/>
      </rPr>
      <t>參訂</t>
    </r>
    <phoneticPr fontId="1"/>
  </si>
  <si>
    <r>
      <t>裴一中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王世雄</t>
    </r>
    <r>
      <rPr>
        <sz val="8"/>
        <color rgb="FF333333"/>
        <rFont val="BIZ UDGothic"/>
        <family val="3"/>
        <charset val="128"/>
      </rPr>
      <t>選評</t>
    </r>
    <phoneticPr fontId="1"/>
  </si>
  <si>
    <t>吳瑭</t>
    <phoneticPr fontId="1"/>
  </si>
  <si>
    <r>
      <t>王肯堂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蔣儀</t>
    </r>
    <r>
      <rPr>
        <sz val="8"/>
        <color rgb="FF333333"/>
        <rFont val="BIZ UDGothic"/>
        <family val="3"/>
        <charset val="128"/>
      </rPr>
      <t>校訂</t>
    </r>
    <phoneticPr fontId="1"/>
  </si>
  <si>
    <r>
      <t>王肯堂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殷宅心</t>
    </r>
    <r>
      <rPr>
        <sz val="8"/>
        <color rgb="FF333333"/>
        <rFont val="BIZ UDGothic"/>
        <family val="3"/>
        <charset val="128"/>
      </rPr>
      <t>輯釋</t>
    </r>
    <phoneticPr fontId="1"/>
  </si>
  <si>
    <r>
      <t>王泰林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周鎮</t>
    </r>
    <r>
      <rPr>
        <sz val="8"/>
        <color rgb="FF333333"/>
        <rFont val="BIZ UDGothic"/>
        <family val="3"/>
        <charset val="128"/>
      </rPr>
      <t>輯錄</t>
    </r>
    <phoneticPr fontId="1"/>
  </si>
  <si>
    <t>尾台逸士超</t>
    <phoneticPr fontId="1"/>
  </si>
  <si>
    <t>櫟蔭拙者</t>
    <phoneticPr fontId="1"/>
  </si>
  <si>
    <t>鶴沖元逸</t>
    <phoneticPr fontId="1"/>
  </si>
  <si>
    <r>
      <t>中神琴溪</t>
    </r>
    <r>
      <rPr>
        <sz val="8"/>
        <color rgb="FF333333"/>
        <rFont val="BIZ UDGothic"/>
        <family val="3"/>
        <charset val="128"/>
      </rPr>
      <t>撰，小野遜編</t>
    </r>
    <phoneticPr fontId="1"/>
  </si>
  <si>
    <r>
      <t>吉益為則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岩恭敬</t>
    </r>
    <r>
      <rPr>
        <sz val="8"/>
        <color rgb="FF333333"/>
        <rFont val="BIZ UDGothic"/>
        <family val="3"/>
        <charset val="128"/>
      </rPr>
      <t>輯錄</t>
    </r>
    <phoneticPr fontId="1"/>
  </si>
  <si>
    <t>陸九芝</t>
    <phoneticPr fontId="1"/>
  </si>
  <si>
    <t>徐延祚</t>
    <phoneticPr fontId="1"/>
  </si>
  <si>
    <t>沈明宗</t>
    <phoneticPr fontId="1"/>
  </si>
  <si>
    <t>許豫和</t>
    <phoneticPr fontId="1"/>
  </si>
  <si>
    <r>
      <t>史典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俞世貴</t>
    </r>
    <r>
      <rPr>
        <sz val="8"/>
        <color rgb="FF333333"/>
        <rFont val="BIZ UDGothic"/>
        <family val="3"/>
        <charset val="128"/>
      </rPr>
      <t>參補，</t>
    </r>
    <r>
      <rPr>
        <sz val="11"/>
        <color theme="1"/>
        <rFont val="游ゴシック"/>
        <family val="2"/>
        <charset val="128"/>
        <scheme val="minor"/>
      </rPr>
      <t>王士雄</t>
    </r>
    <r>
      <rPr>
        <sz val="8"/>
        <color rgb="FF333333"/>
        <rFont val="BIZ UDGothic"/>
        <family val="3"/>
        <charset val="128"/>
      </rPr>
      <t>校刊</t>
    </r>
    <phoneticPr fontId="1"/>
  </si>
  <si>
    <t>黃承昊</t>
    <phoneticPr fontId="1"/>
  </si>
  <si>
    <t>裴一中</t>
    <phoneticPr fontId="1"/>
  </si>
  <si>
    <t>盧覺愚</t>
    <phoneticPr fontId="1"/>
  </si>
  <si>
    <t>周聲溢</t>
    <phoneticPr fontId="1"/>
  </si>
  <si>
    <r>
      <t>似為</t>
    </r>
    <r>
      <rPr>
        <sz val="11"/>
        <color theme="1"/>
        <rFont val="游ゴシック"/>
        <family val="2"/>
        <charset val="128"/>
        <scheme val="minor"/>
      </rPr>
      <t>劉一仁</t>
    </r>
    <r>
      <rPr>
        <sz val="8"/>
        <color rgb="FF333333"/>
        <rFont val="BIZ UDGothic"/>
        <family val="3"/>
        <charset val="128"/>
      </rPr>
      <t>所著，</t>
    </r>
    <r>
      <rPr>
        <sz val="11"/>
        <color theme="1"/>
        <rFont val="游ゴシック"/>
        <family val="2"/>
        <charset val="128"/>
        <scheme val="minor"/>
      </rPr>
      <t>錢樂天</t>
    </r>
    <r>
      <rPr>
        <sz val="8"/>
        <color rgb="FF333333"/>
        <rFont val="BIZ UDGothic"/>
        <family val="3"/>
        <charset val="128"/>
      </rPr>
      <t>得秘本</t>
    </r>
    <phoneticPr fontId="1"/>
  </si>
  <si>
    <r>
      <t>陸士諤著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王君慧</t>
    </r>
    <r>
      <rPr>
        <sz val="8"/>
        <color rgb="FF333333"/>
        <rFont val="BIZ UDGothic"/>
        <family val="3"/>
        <charset val="128"/>
      </rPr>
      <t>點校</t>
    </r>
    <phoneticPr fontId="1"/>
  </si>
  <si>
    <r>
      <t>羅文傑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張紹舜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郭柳霞</t>
    </r>
    <r>
      <rPr>
        <sz val="8"/>
        <color rgb="FF333333"/>
        <rFont val="BIZ UDGothic"/>
        <family val="3"/>
        <charset val="128"/>
      </rPr>
      <t>點校</t>
    </r>
    <phoneticPr fontId="1"/>
  </si>
  <si>
    <t>李冠仙</t>
    <phoneticPr fontId="1"/>
  </si>
  <si>
    <t>王德森</t>
    <phoneticPr fontId="1"/>
  </si>
  <si>
    <t>王學權</t>
    <phoneticPr fontId="1"/>
  </si>
  <si>
    <t>高鼎汾</t>
    <phoneticPr fontId="1"/>
  </si>
  <si>
    <t>心禪僧</t>
    <phoneticPr fontId="1"/>
  </si>
  <si>
    <t>寶輝</t>
    <phoneticPr fontId="1"/>
  </si>
  <si>
    <t>龍繪堂</t>
    <phoneticPr fontId="1"/>
  </si>
  <si>
    <t>曹禾</t>
    <phoneticPr fontId="1"/>
  </si>
  <si>
    <r>
      <t>周之幹</t>
    </r>
    <r>
      <rPr>
        <sz val="8"/>
        <color rgb="FF333333"/>
        <rFont val="BIZ UDGothic"/>
        <family val="3"/>
        <charset val="128"/>
      </rPr>
      <t>著，門人整理，</t>
    </r>
    <r>
      <rPr>
        <sz val="11"/>
        <color theme="1"/>
        <rFont val="游ゴシック"/>
        <family val="2"/>
        <charset val="128"/>
        <scheme val="minor"/>
      </rPr>
      <t>勾吳逋人</t>
    </r>
    <r>
      <rPr>
        <sz val="8"/>
        <color rgb="FF333333"/>
        <rFont val="BIZ UDGothic"/>
        <family val="3"/>
        <charset val="128"/>
      </rPr>
      <t>刊行</t>
    </r>
    <phoneticPr fontId="1"/>
  </si>
  <si>
    <t>韓懋</t>
    <phoneticPr fontId="1"/>
  </si>
  <si>
    <t>徐鏞</t>
    <phoneticPr fontId="1"/>
  </si>
  <si>
    <t>王清任</t>
    <phoneticPr fontId="1"/>
  </si>
  <si>
    <t>江秋</t>
    <phoneticPr fontId="1"/>
  </si>
  <si>
    <r>
      <t>舊題元·</t>
    </r>
    <r>
      <rPr>
        <sz val="11"/>
        <color theme="1"/>
        <rFont val="游ゴシック"/>
        <family val="2"/>
        <charset val="128"/>
        <scheme val="minor"/>
      </rPr>
      <t>朱震亨</t>
    </r>
    <r>
      <rPr>
        <sz val="8"/>
        <color rgb="FF333333"/>
        <rFont val="BIZ UDGothic"/>
        <family val="3"/>
        <charset val="128"/>
      </rPr>
      <t>著，清·</t>
    </r>
    <r>
      <rPr>
        <sz val="11"/>
        <color theme="1"/>
        <rFont val="游ゴシック"/>
        <family val="2"/>
        <charset val="128"/>
        <scheme val="minor"/>
      </rPr>
      <t>湯望久</t>
    </r>
    <r>
      <rPr>
        <sz val="8"/>
        <color rgb="FF333333"/>
        <rFont val="BIZ UDGothic"/>
        <family val="3"/>
        <charset val="128"/>
      </rPr>
      <t>校輯</t>
    </r>
    <phoneticPr fontId="1"/>
  </si>
  <si>
    <t>秦景明</t>
    <phoneticPr fontId="1"/>
  </si>
  <si>
    <t>李用粹</t>
    <phoneticPr fontId="1"/>
  </si>
  <si>
    <t>王道平</t>
    <phoneticPr fontId="1"/>
  </si>
  <si>
    <r>
      <t>朱震亨</t>
    </r>
    <r>
      <rPr>
        <sz val="8"/>
        <color rgb="FF333333"/>
        <rFont val="BIZ UDGothic"/>
        <family val="3"/>
        <charset val="128"/>
      </rPr>
      <t>、</t>
    </r>
    <r>
      <rPr>
        <sz val="11"/>
        <color theme="1"/>
        <rFont val="游ゴシック"/>
        <family val="2"/>
        <charset val="128"/>
        <scheme val="minor"/>
      </rPr>
      <t>戴思恭</t>
    </r>
    <phoneticPr fontId="1"/>
  </si>
  <si>
    <t>方廣</t>
    <phoneticPr fontId="1"/>
  </si>
  <si>
    <t>竇材</t>
    <phoneticPr fontId="1"/>
  </si>
  <si>
    <t>丁毅</t>
    <phoneticPr fontId="1"/>
  </si>
  <si>
    <t>吳邁書</t>
    <phoneticPr fontId="1"/>
  </si>
  <si>
    <r>
      <t>朱震亨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薛己</t>
    </r>
    <r>
      <rPr>
        <sz val="8"/>
        <color rgb="FF333333"/>
        <rFont val="BIZ UDGothic"/>
        <family val="3"/>
        <charset val="128"/>
      </rPr>
      <t>校</t>
    </r>
    <phoneticPr fontId="1"/>
  </si>
  <si>
    <t>朱時進</t>
    <phoneticPr fontId="1"/>
  </si>
  <si>
    <t>姚永濟</t>
    <phoneticPr fontId="1"/>
  </si>
  <si>
    <r>
      <t>高叔宗</t>
    </r>
    <r>
      <rPr>
        <sz val="8"/>
        <color rgb="FF333333"/>
        <rFont val="BIZ UDGothic"/>
        <family val="3"/>
        <charset val="128"/>
      </rPr>
      <t>輯校</t>
    </r>
    <phoneticPr fontId="1"/>
  </si>
  <si>
    <t>徐春甫</t>
    <phoneticPr fontId="1"/>
  </si>
  <si>
    <t>程玠</t>
    <phoneticPr fontId="1"/>
  </si>
  <si>
    <t>徐彥純</t>
    <phoneticPr fontId="1"/>
  </si>
  <si>
    <t>龔信</t>
    <phoneticPr fontId="1"/>
  </si>
  <si>
    <t>王綸</t>
    <phoneticPr fontId="1"/>
  </si>
  <si>
    <t>黃濟之</t>
    <phoneticPr fontId="1"/>
  </si>
  <si>
    <t>孫文胤</t>
    <phoneticPr fontId="1"/>
  </si>
  <si>
    <t>懷遠</t>
    <phoneticPr fontId="1"/>
  </si>
  <si>
    <t>趙術堂</t>
    <phoneticPr fontId="1"/>
  </si>
  <si>
    <t>羅天益</t>
    <phoneticPr fontId="1"/>
  </si>
  <si>
    <t>皇甫中</t>
    <phoneticPr fontId="1"/>
  </si>
  <si>
    <t>蕭京</t>
    <phoneticPr fontId="1"/>
  </si>
  <si>
    <t>孫志宏</t>
    <phoneticPr fontId="1"/>
  </si>
  <si>
    <t>程杏軒</t>
    <phoneticPr fontId="1"/>
  </si>
  <si>
    <t>陳念祖</t>
    <phoneticPr fontId="1"/>
  </si>
  <si>
    <t>高世栻</t>
    <phoneticPr fontId="1"/>
  </si>
  <si>
    <t>林佩琴</t>
    <phoneticPr fontId="1"/>
  </si>
  <si>
    <t>李杲</t>
    <phoneticPr fontId="1"/>
  </si>
  <si>
    <t>金</t>
    <phoneticPr fontId="1"/>
  </si>
  <si>
    <t>唐宗海</t>
    <phoneticPr fontId="1"/>
  </si>
  <si>
    <t>張從正</t>
    <phoneticPr fontId="1"/>
  </si>
  <si>
    <t>沈金鰲</t>
    <phoneticPr fontId="1"/>
  </si>
  <si>
    <r>
      <t>楊乘六</t>
    </r>
    <r>
      <rPr>
        <sz val="8"/>
        <color rgb="FF333333"/>
        <rFont val="BIZ UDGothic"/>
        <family val="3"/>
        <charset val="128"/>
      </rPr>
      <t>輯，</t>
    </r>
    <r>
      <rPr>
        <sz val="11"/>
        <color theme="1"/>
        <rFont val="游ゴシック"/>
        <family val="2"/>
        <charset val="128"/>
        <scheme val="minor"/>
      </rPr>
      <t>王汝謙</t>
    </r>
    <r>
      <rPr>
        <sz val="8"/>
        <color rgb="FF333333"/>
        <rFont val="BIZ UDGothic"/>
        <family val="3"/>
        <charset val="128"/>
      </rPr>
      <t>補注</t>
    </r>
    <phoneticPr fontId="1"/>
  </si>
  <si>
    <t>戴思恭</t>
    <phoneticPr fontId="1"/>
  </si>
  <si>
    <t>慶恕</t>
    <phoneticPr fontId="1"/>
  </si>
  <si>
    <t>馮楚瞻</t>
    <phoneticPr fontId="1"/>
  </si>
  <si>
    <t>張錫純</t>
    <phoneticPr fontId="1"/>
  </si>
  <si>
    <t>李梃</t>
    <phoneticPr fontId="1"/>
  </si>
  <si>
    <t>張介賓</t>
    <phoneticPr fontId="1"/>
  </si>
  <si>
    <t>樓英</t>
    <phoneticPr fontId="1"/>
  </si>
  <si>
    <t>田中榮信</t>
    <phoneticPr fontId="1"/>
  </si>
  <si>
    <t>丹波元胤</t>
    <phoneticPr fontId="1"/>
  </si>
  <si>
    <t>今樹亮</t>
    <phoneticPr fontId="1"/>
  </si>
  <si>
    <t>淺田惟常</t>
    <phoneticPr fontId="1"/>
  </si>
  <si>
    <t>羅國綱</t>
    <phoneticPr fontId="1"/>
  </si>
  <si>
    <t>清</t>
    <phoneticPr fontId="1"/>
  </si>
  <si>
    <t>顧靖遠</t>
    <phoneticPr fontId="1"/>
  </si>
  <si>
    <t>陳士鐸</t>
    <phoneticPr fontId="1"/>
  </si>
  <si>
    <t>虞摶</t>
    <phoneticPr fontId="1"/>
  </si>
  <si>
    <t>明</t>
    <phoneticPr fontId="1"/>
  </si>
  <si>
    <t>李中梓</t>
    <phoneticPr fontId="1"/>
  </si>
  <si>
    <t>蔣示吉</t>
    <phoneticPr fontId="1"/>
  </si>
  <si>
    <t>葉桂</t>
    <phoneticPr fontId="1"/>
  </si>
  <si>
    <t>龔廷賢</t>
    <phoneticPr fontId="1"/>
  </si>
  <si>
    <t>徐大椿</t>
    <phoneticPr fontId="1"/>
  </si>
  <si>
    <t>孫一奎</t>
    <phoneticPr fontId="1"/>
  </si>
  <si>
    <t>孫思邈</t>
    <phoneticPr fontId="1"/>
  </si>
  <si>
    <t>唐</t>
    <phoneticPr fontId="1"/>
  </si>
  <si>
    <t>王燾</t>
    <phoneticPr fontId="1"/>
  </si>
  <si>
    <t>丹波康賴</t>
    <phoneticPr fontId="1"/>
  </si>
  <si>
    <t>宋</t>
    <phoneticPr fontId="1"/>
  </si>
  <si>
    <t>沈懋發</t>
    <phoneticPr fontId="1"/>
  </si>
  <si>
    <t>田中榮信</t>
    <phoneticPr fontId="1"/>
  </si>
  <si>
    <t>毛世洪</t>
    <phoneticPr fontId="1"/>
  </si>
  <si>
    <t>李盛春</t>
    <phoneticPr fontId="1"/>
  </si>
  <si>
    <r>
      <t>清·梁溪七世家醫雅亭氏</t>
    </r>
    <r>
      <rPr>
        <sz val="11"/>
        <color theme="1"/>
        <rFont val="游ゴシック"/>
        <family val="2"/>
        <charset val="128"/>
        <scheme val="minor"/>
      </rPr>
      <t>顧爾元拜</t>
    </r>
    <r>
      <rPr>
        <sz val="8"/>
        <color rgb="FF333333"/>
        <rFont val="BIZ UDGothic"/>
        <family val="3"/>
        <charset val="128"/>
      </rPr>
      <t>撰</t>
    </r>
    <phoneticPr fontId="1"/>
  </si>
  <si>
    <t>駱世馨</t>
    <phoneticPr fontId="1"/>
  </si>
  <si>
    <t>盧雲乘</t>
    <phoneticPr fontId="1"/>
  </si>
  <si>
    <t>吳燡</t>
    <phoneticPr fontId="1"/>
  </si>
  <si>
    <r>
      <t>歙縣</t>
    </r>
    <r>
      <rPr>
        <sz val="11"/>
        <color theme="1"/>
        <rFont val="游ゴシック"/>
        <family val="2"/>
        <charset val="128"/>
        <scheme val="minor"/>
      </rPr>
      <t>江之蘭</t>
    </r>
    <r>
      <rPr>
        <sz val="8"/>
        <color rgb="FF333333"/>
        <rFont val="BIZ UDGothic"/>
        <family val="3"/>
        <charset val="128"/>
      </rPr>
      <t>（含徵）著，和縣高思潛考，正吳縣張炳翔（叔鵬）校錄</t>
    </r>
    <phoneticPr fontId="1"/>
  </si>
  <si>
    <r>
      <t>原題</t>
    </r>
    <r>
      <rPr>
        <sz val="11"/>
        <color theme="1"/>
        <rFont val="游ゴシック"/>
        <family val="2"/>
        <charset val="128"/>
        <scheme val="minor"/>
      </rPr>
      <t>盛寅</t>
    </r>
    <phoneticPr fontId="1"/>
  </si>
  <si>
    <t>魏祖清</t>
    <phoneticPr fontId="1"/>
  </si>
  <si>
    <t>燃犀道人</t>
    <phoneticPr fontId="1"/>
  </si>
  <si>
    <t>許叔微</t>
    <phoneticPr fontId="1"/>
  </si>
  <si>
    <t>沈金鰲</t>
    <phoneticPr fontId="1"/>
  </si>
  <si>
    <t>劉恆瑞</t>
    <phoneticPr fontId="1"/>
  </si>
  <si>
    <t>曹存心</t>
    <phoneticPr fontId="1"/>
  </si>
  <si>
    <t>張壽頤</t>
    <phoneticPr fontId="1"/>
  </si>
  <si>
    <t>民國</t>
    <phoneticPr fontId="1"/>
  </si>
  <si>
    <t>程國齡</t>
    <phoneticPr fontId="1"/>
  </si>
  <si>
    <t>龔自璋</t>
    <phoneticPr fontId="1"/>
  </si>
  <si>
    <t>彭子益</t>
    <phoneticPr fontId="1"/>
  </si>
  <si>
    <t>王有忠</t>
    <phoneticPr fontId="1"/>
  </si>
  <si>
    <r>
      <t>作者不詳</t>
    </r>
    <r>
      <rPr>
        <sz val="8"/>
        <color rgb="FF333333"/>
        <rFont val="BIZ UDGothic"/>
        <family val="3"/>
        <charset val="128"/>
      </rPr>
      <t>，</t>
    </r>
    <r>
      <rPr>
        <sz val="11"/>
        <color theme="1"/>
        <rFont val="游ゴシック"/>
        <family val="2"/>
        <charset val="128"/>
        <scheme val="minor"/>
      </rPr>
      <t>錢雷</t>
    </r>
    <r>
      <rPr>
        <sz val="8"/>
        <color rgb="FF333333"/>
        <rFont val="BIZ UDGothic"/>
        <family val="3"/>
        <charset val="128"/>
      </rPr>
      <t>增補</t>
    </r>
    <phoneticPr fontId="1"/>
  </si>
  <si>
    <r>
      <t>舊題</t>
    </r>
    <r>
      <rPr>
        <sz val="11"/>
        <color theme="1"/>
        <rFont val="游ゴシック"/>
        <family val="2"/>
        <charset val="128"/>
        <scheme val="minor"/>
      </rPr>
      <t>華佗</t>
    </r>
    <r>
      <rPr>
        <sz val="8"/>
        <color rgb="FF333333"/>
        <rFont val="BIZ UDGothic"/>
        <family val="3"/>
        <charset val="128"/>
      </rPr>
      <t>著，</t>
    </r>
    <r>
      <rPr>
        <sz val="11"/>
        <color theme="1"/>
        <rFont val="游ゴシック"/>
        <family val="2"/>
        <charset val="128"/>
        <scheme val="minor"/>
      </rPr>
      <t>汪琥</t>
    </r>
    <r>
      <rPr>
        <sz val="8"/>
        <color rgb="FF333333"/>
        <rFont val="BIZ UDGothic"/>
        <family val="3"/>
        <charset val="128"/>
      </rPr>
      <t>序</t>
    </r>
    <phoneticPr fontId="1"/>
  </si>
  <si>
    <t>李杲</t>
    <phoneticPr fontId="1"/>
  </si>
  <si>
    <t>金</t>
    <phoneticPr fontId="1"/>
  </si>
  <si>
    <t>鄧景儀</t>
    <phoneticPr fontId="1"/>
  </si>
  <si>
    <t>賀岳</t>
    <phoneticPr fontId="1"/>
  </si>
  <si>
    <t>李言恭</t>
    <phoneticPr fontId="1"/>
  </si>
  <si>
    <t>沈懋言</t>
    <phoneticPr fontId="1"/>
  </si>
  <si>
    <r>
      <t>華佗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胡文煥</t>
    </r>
    <r>
      <rPr>
        <sz val="8"/>
        <color rgb="FF333333"/>
        <rFont val="BIZ UDGothic"/>
        <family val="3"/>
        <charset val="128"/>
      </rPr>
      <t>校正</t>
    </r>
    <phoneticPr fontId="1"/>
  </si>
  <si>
    <t>傅滋</t>
    <phoneticPr fontId="1"/>
  </si>
  <si>
    <t>聶尚恆</t>
    <phoneticPr fontId="1"/>
  </si>
  <si>
    <t>張元素</t>
    <phoneticPr fontId="1"/>
  </si>
  <si>
    <t>羅美</t>
    <phoneticPr fontId="1"/>
  </si>
  <si>
    <t>丹波元胤</t>
    <phoneticPr fontId="1"/>
  </si>
  <si>
    <t>今樹亮</t>
    <phoneticPr fontId="1"/>
  </si>
  <si>
    <t>謝觀</t>
    <phoneticPr fontId="1"/>
  </si>
  <si>
    <t>淺田惟常</t>
    <phoneticPr fontId="1"/>
  </si>
  <si>
    <t>約西周</t>
    <phoneticPr fontId="1"/>
  </si>
  <si>
    <t>宋慈</t>
    <phoneticPr fontId="1"/>
  </si>
  <si>
    <r>
      <t>何大任</t>
    </r>
    <r>
      <rPr>
        <sz val="8"/>
        <color rgb="FF333333"/>
        <rFont val="BIZ UDGothic"/>
        <family val="3"/>
        <charset val="128"/>
      </rPr>
      <t>序</t>
    </r>
    <phoneticPr fontId="1"/>
  </si>
  <si>
    <t>朱橚</t>
    <phoneticPr fontId="1"/>
  </si>
  <si>
    <t>薛己</t>
    <phoneticPr fontId="1"/>
  </si>
  <si>
    <t>倪維德</t>
    <phoneticPr fontId="1"/>
  </si>
  <si>
    <t>元</t>
    <phoneticPr fontId="1"/>
  </si>
  <si>
    <t>王綸</t>
    <phoneticPr fontId="1"/>
  </si>
  <si>
    <t>杜本</t>
    <phoneticPr fontId="1"/>
  </si>
  <si>
    <t>錢乙</t>
    <phoneticPr fontId="1"/>
  </si>
  <si>
    <t>薛鎧</t>
    <phoneticPr fontId="1"/>
  </si>
  <si>
    <t>陳自明</t>
    <phoneticPr fontId="1"/>
  </si>
  <si>
    <t>陳文中</t>
    <phoneticPr fontId="1"/>
  </si>
  <si>
    <t>南宋</t>
    <phoneticPr fontId="1"/>
  </si>
  <si>
    <t>王肯堂</t>
    <phoneticPr fontId="1"/>
  </si>
  <si>
    <r>
      <t>吳謙</t>
    </r>
    <r>
      <rPr>
        <sz val="8"/>
        <color rgb="FF333333"/>
        <rFont val="BIZ UDGothic"/>
        <family val="3"/>
        <charset val="128"/>
      </rPr>
      <t>等</t>
    </r>
    <phoneticPr fontId="1"/>
  </si>
  <si>
    <t>鄭玉壇</t>
    <phoneticPr fontId="1"/>
  </si>
  <si>
    <t>黃朝坊</t>
    <phoneticPr fontId="1"/>
  </si>
  <si>
    <t>丹波元簡</t>
    <phoneticPr fontId="1"/>
  </si>
  <si>
    <t>丹波元堅</t>
    <phoneticPr fontId="1"/>
  </si>
  <si>
    <t>唯宗時俊</t>
    <phoneticPr fontId="1"/>
  </si>
  <si>
    <t>中川成章</t>
    <phoneticPr fontId="1"/>
  </si>
  <si>
    <t>大塜敬節</t>
    <phoneticPr fontId="1"/>
  </si>
  <si>
    <t>中西惟忠</t>
    <phoneticPr fontId="1"/>
  </si>
  <si>
    <t>橘南谿</t>
    <phoneticPr fontId="1"/>
  </si>
  <si>
    <t>山田正珍</t>
    <phoneticPr fontId="1"/>
  </si>
  <si>
    <t>川越正淑</t>
    <phoneticPr fontId="1"/>
  </si>
  <si>
    <t>後藤省</t>
    <phoneticPr fontId="1"/>
  </si>
  <si>
    <t>源元凱</t>
    <phoneticPr fontId="1"/>
  </si>
  <si>
    <t>秋吉質</t>
    <phoneticPr fontId="1"/>
  </si>
  <si>
    <t>高島久貫</t>
    <phoneticPr fontId="1"/>
  </si>
  <si>
    <t>今邨亮</t>
    <phoneticPr fontId="1"/>
  </si>
  <si>
    <t>岡田昌春等</t>
    <phoneticPr fontId="1"/>
  </si>
  <si>
    <t>大橋尚因</t>
    <phoneticPr fontId="1"/>
  </si>
  <si>
    <t>二宮獻</t>
    <phoneticPr fontId="1"/>
  </si>
  <si>
    <t>片倉元周</t>
    <phoneticPr fontId="1"/>
  </si>
  <si>
    <t>賀川玄悅</t>
    <phoneticPr fontId="1"/>
  </si>
  <si>
    <t>下津壽泉</t>
    <phoneticPr fontId="1"/>
  </si>
  <si>
    <t>池田瑞仙</t>
    <phoneticPr fontId="1"/>
  </si>
  <si>
    <t>本庄俊篤</t>
    <phoneticPr fontId="1"/>
  </si>
  <si>
    <t>小阪營升</t>
    <phoneticPr fontId="1"/>
  </si>
  <si>
    <t>佐藤利信</t>
    <phoneticPr fontId="1"/>
  </si>
  <si>
    <t>管周桂</t>
    <phoneticPr fontId="1"/>
  </si>
  <si>
    <t>杉山和一</t>
    <phoneticPr fontId="1"/>
  </si>
  <si>
    <t>水走嘉言</t>
    <phoneticPr fontId="1"/>
  </si>
  <si>
    <t>賀谷壽</t>
    <phoneticPr fontId="1"/>
  </si>
  <si>
    <t>岡西為人</t>
    <phoneticPr fontId="1"/>
  </si>
  <si>
    <t>吉益為則</t>
    <phoneticPr fontId="1"/>
  </si>
  <si>
    <t>吉益東洞</t>
    <phoneticPr fontId="1"/>
  </si>
  <si>
    <t>山田元倫</t>
    <phoneticPr fontId="1"/>
  </si>
  <si>
    <t>平井氏</t>
    <phoneticPr fontId="1"/>
  </si>
  <si>
    <t>尾台逸士超</t>
    <phoneticPr fontId="1"/>
  </si>
  <si>
    <t>櫟蔭拙者</t>
    <phoneticPr fontId="1"/>
  </si>
  <si>
    <t>長尾藻城</t>
    <phoneticPr fontId="1"/>
  </si>
  <si>
    <t>近藤明</t>
    <phoneticPr fontId="1"/>
  </si>
  <si>
    <t>鶴沖元逸</t>
    <phoneticPr fontId="1"/>
  </si>
  <si>
    <t>北山友松子</t>
    <phoneticPr fontId="1"/>
  </si>
  <si>
    <r>
      <t>中神琴溪</t>
    </r>
    <r>
      <rPr>
        <sz val="8"/>
        <color rgb="FF333333"/>
        <rFont val="BIZ UDGothic"/>
        <family val="3"/>
        <charset val="128"/>
      </rPr>
      <t>撰，小野遜編</t>
    </r>
    <phoneticPr fontId="1"/>
  </si>
  <si>
    <r>
      <t>吉益為則</t>
    </r>
    <r>
      <rPr>
        <sz val="8"/>
        <color rgb="FF333333"/>
        <rFont val="BIZ UDGothic"/>
        <family val="3"/>
        <charset val="128"/>
      </rPr>
      <t>撰，</t>
    </r>
    <r>
      <rPr>
        <sz val="11"/>
        <color theme="1"/>
        <rFont val="游ゴシック"/>
        <family val="2"/>
        <charset val="128"/>
        <scheme val="minor"/>
      </rPr>
      <t>岩恭敬</t>
    </r>
    <r>
      <rPr>
        <sz val="8"/>
        <color rgb="FF333333"/>
        <rFont val="BIZ UDGothic"/>
        <family val="3"/>
        <charset val="128"/>
      </rPr>
      <t>輯錄</t>
    </r>
    <phoneticPr fontId="1"/>
  </si>
  <si>
    <t>原昌克</t>
    <phoneticPr fontId="1"/>
  </si>
  <si>
    <t>吉益爲則</t>
    <phoneticPr fontId="1"/>
  </si>
  <si>
    <t>村井杶</t>
    <phoneticPr fontId="1"/>
  </si>
  <si>
    <t>久保田晴光</t>
    <phoneticPr fontId="1"/>
  </si>
  <si>
    <t>伊豫平住</t>
    <phoneticPr fontId="1"/>
  </si>
  <si>
    <t>峰下鐵雄</t>
    <phoneticPr fontId="1"/>
  </si>
  <si>
    <t>杉本重利</t>
    <phoneticPr fontId="1"/>
  </si>
  <si>
    <t>中尾萬三</t>
    <phoneticPr fontId="1"/>
  </si>
  <si>
    <t>一色直太郎</t>
    <phoneticPr fontId="1"/>
  </si>
  <si>
    <t>富士川遊</t>
    <phoneticPr fontId="1"/>
  </si>
  <si>
    <t>元末明初</t>
  </si>
  <si>
    <t>南朝·齊</t>
  </si>
  <si>
    <t>隋</t>
  </si>
  <si>
    <t>清末民初</t>
  </si>
  <si>
    <t>清末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</si>
</sst>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9"/>
      <scheme val="minor"/>
    </font>
    <font>
      <sz val="11"/>
      <color theme="1"/>
      <name val="游ゴシック"/>
      <family val="3"/>
      <charset val="136"/>
      <scheme val="minor"/>
    </font>
    <font>
      <sz val="11"/>
      <color theme="1"/>
      <name val="游ゴシック"/>
      <family val="3"/>
      <charset val="134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rgb="FF333333"/>
      <name val="BIZ UDGothic"/>
      <family val="3"/>
    </font>
    <font>
      <sz val="8"/>
      <color rgb="FF333333"/>
      <name val="BIZ UD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top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numFmt numFmtId="176" formatCode=";;;"/>
    </dxf>
    <dxf>
      <numFmt numFmtId="17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 k" refreshedDate="45466.408648032404" createdVersion="4" refreshedVersion="4" minRefreshableVersion="3" recordCount="1477">
  <cacheSource type="worksheet">
    <worksheetSource ref="A1:J1478" sheet="データ"/>
  </cacheSource>
  <cacheFields count="10">
    <cacheField name="大分類" numFmtId="0">
      <sharedItems count="20">
        <s v="医経類"/>
        <s v="診法類"/>
        <s v="本草類"/>
        <s v="医方類"/>
        <s v="鍼灸経穴類"/>
        <s v="傷寒金匱類"/>
        <s v="温病類"/>
        <s v="内科"/>
        <s v="婦産科"/>
        <s v="小児科"/>
        <s v="外科"/>
        <s v="傷科"/>
        <s v="五官科"/>
        <s v="養生類"/>
        <s v="医案類"/>
        <s v="醫論醫話隨筆類"/>
        <s v="綜合医書類"/>
        <s v="医史考釈類"/>
        <s v="其他類"/>
        <s v="叢書"/>
      </sharedItems>
    </cacheField>
    <cacheField name="中分類" numFmtId="0">
      <sharedItems containsBlank="1" count="39">
        <s v="内経"/>
        <s v="難経"/>
        <s v="其他"/>
        <m/>
        <s v="脈診"/>
        <s v="望診"/>
        <s v="舌診"/>
        <s v="唐以前本草"/>
        <s v="宋金元本草"/>
        <s v="明代本草"/>
        <s v="清以後本草"/>
        <s v="日本本草"/>
        <s v="炮製専著"/>
        <s v="唐以前医方"/>
        <s v="宋金元医方"/>
        <s v="明代医方"/>
        <s v="清以後医方"/>
        <s v="日本医方"/>
        <s v="単方験方"/>
        <s v="傷寒"/>
        <s v="金匱"/>
        <s v="綜合"/>
        <s v="専論"/>
        <s v="産科"/>
        <s v="眼科"/>
        <s v="喉科"/>
        <s v="口歯科"/>
        <s v="祝由科"/>
        <s v="導引気功"/>
        <s v="薬膳食療"/>
        <s v="外治法"/>
        <s v="普済方"/>
        <s v="薛氏医案"/>
        <s v="証治準縄"/>
        <s v="医宗金鑑"/>
        <s v="医宗金鑑_条列版"/>
        <s v="彤園医書"/>
        <s v="金匱啓鑰"/>
        <s v="皇漢医学叢書"/>
      </sharedItems>
    </cacheField>
    <cacheField name="小分類" numFmtId="0">
      <sharedItems containsBlank="1" count="4">
        <s v="素問"/>
        <s v="霊枢"/>
        <s v="綜合"/>
        <m/>
      </sharedItems>
    </cacheField>
    <cacheField name="書名（常用漢字）" numFmtId="0">
      <sharedItems/>
    </cacheField>
    <cacheField name="書名（繁体字）" numFmtId="0">
      <sharedItems/>
    </cacheField>
    <cacheField name="作者" numFmtId="0">
      <sharedItems containsBlank="1"/>
    </cacheField>
    <cacheField name="朝代" numFmtId="0">
      <sharedItems containsBlank="1" count="33">
        <s v="戰國－西漢"/>
        <m/>
        <s v="宋"/>
        <s v="清"/>
        <s v="元"/>
        <s v="明"/>
        <s v="金"/>
        <s v="唐"/>
        <s v="春秋戰國"/>
        <s v="南宋"/>
        <s v="晉"/>
        <s v="民國"/>
        <s v="秦漢"/>
        <s v="漢末-晉"/>
        <s v="南朝·梁"/>
        <s v="五代"/>
        <s v="漢末"/>
        <s v="南朝·宋"/>
        <s v="秦"/>
        <s v="東晉"/>
        <s v="後漢"/>
        <s v="漢"/>
        <s v="元末明初"/>
        <s v="南朝·齊"/>
        <s v="隋"/>
        <s v="清末民初"/>
        <s v="清末"/>
        <s v="朱時進" u="1"/>
        <s v=" 清" u="1"/>
        <s v=" 宋" u="1"/>
        <s v=" 南朝·宋" u="1"/>
        <s v=" 金" u="1"/>
        <s v=" 南宋" u="1"/>
      </sharedItems>
    </cacheField>
    <cacheField name="年代" numFmtId="0">
      <sharedItems containsBlank="1" containsMixedTypes="1" containsNumber="1" containsInteger="1" minValue="-215" maxValue="1989"/>
    </cacheField>
    <cacheField name="備考" numFmtId="0">
      <sharedItems containsBlank="1"/>
    </cacheField>
    <cacheField name="リンク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7">
  <r>
    <x v="0"/>
    <x v="0"/>
    <x v="0"/>
    <s v="黄帝内経素問"/>
    <s v="黃帝內經素問"/>
    <m/>
    <x v="0"/>
    <m/>
    <m/>
    <s v="https://jicheng.tw/tcm/book/%e9%bb%83%e5%b8%9d%e5%85%a7%e7%b6%93%e7%b4%a0%e5%95%8f/index.html"/>
  </r>
  <r>
    <x v="0"/>
    <x v="0"/>
    <x v="0"/>
    <s v="黄帝内経素問_条列版"/>
    <s v="黃帝內經素問_條列版"/>
    <m/>
    <x v="1"/>
    <m/>
    <m/>
    <s v="https://jicheng.tw/tcm/book/%e9%bb%83%e5%b8%9d%e5%85%a7%e7%b6%93%e7%b4%a0%e5%95%8f%5f%e6%a2%9d%e5%88%97%e7%89%88/index.html"/>
  </r>
  <r>
    <x v="0"/>
    <x v="0"/>
    <x v="0"/>
    <s v="黄帝内経素問遺篇_1"/>
    <s v="黃帝內經素問遺篇_1"/>
    <m/>
    <x v="2"/>
    <s v="960-1279"/>
    <m/>
    <s v="https://jicheng.tw/tcm/book/%e9%bb%83%e5%b8%9d%e5%85%a7%e7%b6%93%e7%b4%a0%e5%95%8f%e9%81%ba%e7%af%87%5f%31/index.html"/>
  </r>
  <r>
    <x v="0"/>
    <x v="0"/>
    <x v="0"/>
    <s v="重広補注黄帝内経素問 ****"/>
    <s v="重廣補注黃帝內經素問 ****"/>
    <m/>
    <x v="0"/>
    <m/>
    <m/>
    <s v="https://jicheng.tw/tcm/book/%e9%87%8d%e5%bb%a3%e8%a3%9c%e6%b3%a8%e9%bb%83%e5%b8%9d%e5%85%a7%e7%b6%93%e7%b4%a0%e5%95%8f/index.html"/>
  </r>
  <r>
    <x v="0"/>
    <x v="0"/>
    <x v="0"/>
    <s v="黄帝内経素問補註釈文"/>
    <s v="黃帝內經素問補註釋文"/>
    <m/>
    <x v="1"/>
    <m/>
    <m/>
    <s v="https://jicheng.tw/tcm/book/%e9%bb%83%e5%b8%9d%e5%85%a7%e7%b6%93%e7%b4%a0%e5%95%8f%e8%a3%9c%e8%a8%bb%e9%87%8b%e6%96%87/index.html"/>
  </r>
  <r>
    <x v="0"/>
    <x v="0"/>
    <x v="0"/>
    <s v="素問経注節解"/>
    <s v="素問經注節解"/>
    <s v="姚紹虞"/>
    <x v="3"/>
    <n v="1677"/>
    <m/>
    <s v="https://jicheng.tw/tcm/book/%e7%b4%a0%e5%95%8f%e7%b6%93%e6%b3%a8%e7%af%80%e8%a7%a3/index.html"/>
  </r>
  <r>
    <x v="0"/>
    <x v="0"/>
    <x v="0"/>
    <s v="黄帝内経素問校義"/>
    <s v="黃帝內經素問校義"/>
    <s v="胡澍"/>
    <x v="3"/>
    <n v="1880"/>
    <m/>
    <s v="https://jicheng.tw/tcm/book/%e9%bb%83%e5%b8%9d%e5%85%a7%e7%b6%93%e7%b4%a0%e5%95%8f%e6%a0%a1%e7%be%a9/index.html"/>
  </r>
  <r>
    <x v="0"/>
    <x v="0"/>
    <x v="0"/>
    <s v="黄帝素問直解"/>
    <s v="黃帝素問直解"/>
    <s v="高士宗"/>
    <x v="3"/>
    <n v="1695"/>
    <m/>
    <s v="https://jicheng.tw/tcm/book/%e9%bb%83%e5%b8%9d%e7%b4%a0%e5%95%8f%e7%9b%b4%e8%a7%a3/index.html"/>
  </r>
  <r>
    <x v="0"/>
    <x v="0"/>
    <x v="0"/>
    <s v="黄帝内経素問集註"/>
    <s v="黃帝內經素問集註"/>
    <s v="張志聰"/>
    <x v="3"/>
    <n v="1670"/>
    <m/>
    <s v="https://jicheng.tw/tcm/book/%e9%bb%83%e5%b8%9d%e5%85%a7%e7%b6%93%e7%b4%a0%e5%95%8f%e9%9b%86%e8%a8%bb/index.html"/>
  </r>
  <r>
    <x v="0"/>
    <x v="0"/>
    <x v="0"/>
    <s v="黄帝経世素問合編"/>
    <s v="黃帝經世素問合編"/>
    <s v="張志聰"/>
    <x v="3"/>
    <n v="1672"/>
    <m/>
    <s v="https://jicheng.tw/tcm/book/%e9%bb%83%e5%b8%9d%e7%b6%93%e4%b8%96%e7%b4%a0%e5%95%8f%e5%90%88%e7%b7%a8/index.html"/>
  </r>
  <r>
    <x v="0"/>
    <x v="0"/>
    <x v="0"/>
    <s v="素問識"/>
    <s v="素問識"/>
    <s v="丹波元簡"/>
    <x v="3"/>
    <n v="1806"/>
    <m/>
    <s v="https://jicheng.tw/tcm/book/%e7%b4%a0%e5%95%8f%e8%ad%98/index.html"/>
  </r>
  <r>
    <x v="0"/>
    <x v="0"/>
    <x v="0"/>
    <s v="読素問鈔"/>
    <s v="讀素問鈔"/>
    <s v="滑壽"/>
    <x v="4"/>
    <n v="1526"/>
    <m/>
    <s v="https://jicheng.tw/tcm/book/%e8%ae%80%e7%b4%a0%e5%95%8f%e9%88%94/index.html"/>
  </r>
  <r>
    <x v="0"/>
    <x v="0"/>
    <x v="0"/>
    <s v="素問紹識"/>
    <s v="素問紹識"/>
    <s v="丹波元堅"/>
    <x v="3"/>
    <m/>
    <m/>
    <s v="https://jicheng.tw/tcm/book/%e7%b4%a0%e5%95%8f%e7%b4%b9%e8%ad%98/index.html"/>
  </r>
  <r>
    <x v="0"/>
    <x v="0"/>
    <x v="0"/>
    <s v="素問懸解"/>
    <s v="素問懸解"/>
    <s v="黃玉璐"/>
    <x v="3"/>
    <n v="1756"/>
    <m/>
    <s v="https://jicheng.tw/tcm/book/%e7%b4%a0%e5%95%8f%e6%87%b8%e8%a7%a3/index.html"/>
  </r>
  <r>
    <x v="0"/>
    <x v="0"/>
    <x v="0"/>
    <s v="素問呉註"/>
    <s v="素問吳註"/>
    <s v="呉崑"/>
    <x v="5"/>
    <n v="1594"/>
    <m/>
    <s v="https://jicheng.tw/tcm/book/%e7%b4%a0%e5%95%8f%e5%90%b3%e8%a8%bb/index.html"/>
  </r>
  <r>
    <x v="0"/>
    <x v="0"/>
    <x v="0"/>
    <s v="素問要旨論"/>
    <s v="素問要旨論"/>
    <s v="劉完素"/>
    <x v="6"/>
    <s v="1115-1234"/>
    <m/>
    <s v="https://jicheng.tw/tcm/book/%e7%b4%a0%e5%95%8f%e8%a6%81%e6%97%a8%e8%ab%96/index.html"/>
  </r>
  <r>
    <x v="0"/>
    <x v="0"/>
    <x v="0"/>
    <s v="素問要旨論_1"/>
    <s v="素問要旨論_1"/>
    <s v="劉完素"/>
    <x v="6"/>
    <s v="1115-1234"/>
    <m/>
    <s v="https://jicheng.tw/tcm/book/%e7%b4%a0%e5%95%8f%e8%a6%81%e6%97%a8%e8%ab%96%5f%31/index.html"/>
  </r>
  <r>
    <x v="0"/>
    <x v="0"/>
    <x v="0"/>
    <s v="素問六気玄珠密語"/>
    <s v="素問六氣玄珠密語"/>
    <s v="王冰"/>
    <x v="7"/>
    <s v="618-907"/>
    <m/>
    <s v="https://jicheng.tw/tcm/book/%e7%b4%a0%e5%95%8f%e5%85%ad%e6%b0%a3%e7%8e%84%e7%8f%a0%e5%af%86%e8%aa%9e/index.html"/>
  </r>
  <r>
    <x v="0"/>
    <x v="0"/>
    <x v="0"/>
    <s v="素問病機気宜保命集"/>
    <s v="素問病機氣宜保命集"/>
    <s v="劉完素"/>
    <x v="6"/>
    <n v="1188"/>
    <m/>
    <s v="https://jicheng.tw/tcm/book/%e7%b4%a0%e5%95%8f%e7%97%85%e6%a9%9f%e6%b0%a3%e5%ae%9c%e4%bf%9d%e5%91%bd%e9%9b%86/index.html"/>
  </r>
  <r>
    <x v="0"/>
    <x v="0"/>
    <x v="0"/>
    <s v="素問病機気宜保命集_1"/>
    <s v="素問病機氣宜保命集_1"/>
    <s v="劉完素"/>
    <x v="6"/>
    <n v="1188"/>
    <m/>
    <s v="https://jicheng.tw/tcm/book/%e7%b4%a0%e5%95%8f%e7%97%85%e6%a9%9f%e6%b0%a3%e5%ae%9c%e4%bf%9d%e5%91%bd%e9%9b%86%5f%31/index.html"/>
  </r>
  <r>
    <x v="0"/>
    <x v="0"/>
    <x v="0"/>
    <s v="医宗金鑑·運気要訣"/>
    <s v="醫宗金鑑·運氣要訣"/>
    <s v="呉謙等"/>
    <x v="3"/>
    <n v="1742"/>
    <m/>
    <s v="https://jicheng.tw/tcm/book/%E9%86%AB%E5%AE%97%E9%87%91%E9%91%91/%E9%81%8B%E6%B0%A3%E8%A6%81%E8%A8%A3/index.html"/>
  </r>
  <r>
    <x v="0"/>
    <x v="0"/>
    <x v="0"/>
    <s v="運気証治歌訣"/>
    <s v="運氣證治歌訣"/>
    <s v="王旭高"/>
    <x v="3"/>
    <m/>
    <m/>
    <s v="https://jicheng.tw/tcm/book/%e9%81%8b%e6%b0%a3%e8%ad%89%e6%b2%bb%e6%ad%8c%e8%a8%a3/index.html"/>
  </r>
  <r>
    <x v="0"/>
    <x v="0"/>
    <x v="0"/>
    <s v="素問心得"/>
    <s v="素問心得"/>
    <s v="胡文煥"/>
    <x v="5"/>
    <n v="1592"/>
    <m/>
    <s v="https://jicheng.tw/tcm/book/%e7%b4%a0%e5%95%8f%e5%bf%83%e5%be%97/index.html"/>
  </r>
  <r>
    <x v="0"/>
    <x v="0"/>
    <x v="0"/>
    <s v="素問記聞"/>
    <s v="素問記聞"/>
    <s v="玄輿中野"/>
    <x v="1"/>
    <m/>
    <m/>
    <s v="https://jicheng.tw/tcm/book/%e7%b4%a0%e5%95%8f%e8%a8%98%e8%81%9e/index.html"/>
  </r>
  <r>
    <x v="0"/>
    <x v="0"/>
    <x v="0"/>
    <s v="素問入式運気論奥"/>
    <s v="素問入式運氣論奧"/>
    <s v="劉溫舒"/>
    <x v="2"/>
    <n v="1099"/>
    <m/>
    <s v="https://jicheng.tw/tcm/book/%e7%b4%a0%e5%95%8f%e5%85%a5%e5%bc%8f%e9%81%8b%e6%b0%a3%e8%ab%96%e5%a5%a7/index.html"/>
  </r>
  <r>
    <x v="0"/>
    <x v="0"/>
    <x v="1"/>
    <s v="霊枢"/>
    <s v="靈樞"/>
    <m/>
    <x v="8"/>
    <m/>
    <m/>
    <s v="https://jicheng.tw/tcm/book/%e9%9d%88%e6%a8%9e/index.html"/>
  </r>
  <r>
    <x v="0"/>
    <x v="0"/>
    <x v="1"/>
    <s v="霊枢_条列版"/>
    <s v="靈樞_條列版"/>
    <m/>
    <x v="1"/>
    <m/>
    <m/>
    <s v="https://jicheng.tw/tcm/book/%e9%9d%88%e6%a8%9e%5f%e6%a2%9d%e5%88%97%e7%89%88/index.html"/>
  </r>
  <r>
    <x v="0"/>
    <x v="0"/>
    <x v="1"/>
    <s v="黄帝内経霊枢集註"/>
    <s v="黃帝內經靈樞集註"/>
    <s v="張志聰"/>
    <x v="3"/>
    <n v="1672"/>
    <m/>
    <s v="https://jicheng.tw/tcm/book/%e9%bb%83%e5%b8%9d%e5%85%a7%e7%b6%93%e9%9d%88%e6%a8%9e%e9%9b%86%e8%a8%bb/index.html"/>
  </r>
  <r>
    <x v="0"/>
    <x v="0"/>
    <x v="1"/>
    <s v="霊枢識"/>
    <s v="靈樞識"/>
    <s v="丹波元簡"/>
    <x v="1"/>
    <n v="1808"/>
    <m/>
    <s v="https://jicheng.tw/tcm/book/%e9%9d%88%e6%a8%9e%e8%ad%98/index.html"/>
  </r>
  <r>
    <x v="0"/>
    <x v="0"/>
    <x v="1"/>
    <s v="霊枢懸解"/>
    <s v="靈樞懸解"/>
    <s v="黃玉璐"/>
    <x v="3"/>
    <n v="1756"/>
    <m/>
    <s v="https://jicheng.tw/tcm/book/%e9%9d%88%e6%a8%9e%e6%87%b8%e8%a7%a3/index.html"/>
  </r>
  <r>
    <x v="0"/>
    <x v="0"/>
    <x v="1"/>
    <s v="霊枢心得"/>
    <s v="靈樞心得"/>
    <s v="胡文渙"/>
    <x v="5"/>
    <n v="1592"/>
    <m/>
    <s v="https://jicheng.tw/tcm/book/%e9%9d%88%e6%a8%9e%e5%bf%83%e5%be%97/index.html"/>
  </r>
  <r>
    <x v="0"/>
    <x v="0"/>
    <x v="1"/>
    <s v="黄帝内経霊枢略"/>
    <s v="黃帝內經靈樞略"/>
    <m/>
    <x v="1"/>
    <m/>
    <s v="正統道藏·黃帝内經靈樞略"/>
    <s v="https://jicheng.tw/tcm/book/%e9%bb%83%e5%b8%9d%e5%85%a7%e7%b6%93%e9%9d%88%e6%a8%9e%e7%95%a5/index.html"/>
  </r>
  <r>
    <x v="0"/>
    <x v="0"/>
    <x v="1"/>
    <s v="黄帝素問霊枢集註"/>
    <s v="黃帝素問靈樞集註"/>
    <s v="史崧"/>
    <x v="2"/>
    <m/>
    <m/>
    <s v="https://jicheng.tw/tcm/book/%e9%bb%83%e5%b8%9d%e7%b4%a0%e5%95%8f%e9%9d%88%e6%a8%9e%e9%9b%86%e8%a8%bb/index.html"/>
  </r>
  <r>
    <x v="0"/>
    <x v="0"/>
    <x v="2"/>
    <s v="黄帝内経太素"/>
    <s v="黃帝內經太素"/>
    <s v="楊上善"/>
    <x v="7"/>
    <n v="618"/>
    <m/>
    <s v="https://jicheng.tw/tcm/book/%e9%bb%83%e5%b8%9d%e5%85%a7%e7%b6%93%e5%a4%aa%e7%b4%a0/index.html"/>
  </r>
  <r>
    <x v="0"/>
    <x v="0"/>
    <x v="2"/>
    <s v="内経評文"/>
    <s v="內經評文"/>
    <s v="周学海"/>
    <x v="3"/>
    <n v="1896"/>
    <m/>
    <s v="https://jicheng.tw/tcm/book/%e5%85%a7%e7%b6%93%e8%a9%95%e6%96%87/index.html"/>
  </r>
  <r>
    <x v="0"/>
    <x v="0"/>
    <x v="2"/>
    <s v="医家千字文"/>
    <s v="醫家千字文"/>
    <s v="唯宗時俊"/>
    <x v="3"/>
    <m/>
    <m/>
    <s v="https://jicheng.tw/tcm/book/%e9%86%ab%e5%ae%b6%e5%8d%83%e5%ad%97%e6%96%87/index.html"/>
  </r>
  <r>
    <x v="0"/>
    <x v="0"/>
    <x v="2"/>
    <s v="内経弁言"/>
    <s v="內經辨言"/>
    <s v="俞樾"/>
    <x v="3"/>
    <n v="1850"/>
    <m/>
    <s v="https://jicheng.tw/tcm/book/%e5%85%a7%e7%b6%93%e8%be%a8%e8%a8%80/index.html"/>
  </r>
  <r>
    <x v="0"/>
    <x v="0"/>
    <x v="2"/>
    <s v="黄帝内経霊枢註証発微"/>
    <s v="黃帝內經靈樞註證發微"/>
    <s v="馬蒔"/>
    <x v="5"/>
    <m/>
    <m/>
    <s v="https://jicheng.tw/tcm/book/%e9%bb%83%e5%b8%9d%e5%85%a7%e7%b6%93%e9%9d%88%e6%a8%9e%e8%a8%bb%e8%ad%89%e7%99%bc%e5%be%ae/index.html"/>
  </r>
  <r>
    <x v="0"/>
    <x v="0"/>
    <x v="2"/>
    <s v="類経"/>
    <s v="類經"/>
    <s v="張介賓"/>
    <x v="5"/>
    <n v="1624"/>
    <m/>
    <s v="https://jicheng.tw/tcm/book/%e9%a1%9e%e7%b6%93/index.html"/>
  </r>
  <r>
    <x v="0"/>
    <x v="0"/>
    <x v="2"/>
    <s v="類経_1"/>
    <s v="類經_1"/>
    <s v="張介賓"/>
    <x v="5"/>
    <n v="1624"/>
    <m/>
    <s v="https://jicheng.tw/tcm/book/%e9%a1%9e%e7%b6%93%5f%31/index.html"/>
  </r>
  <r>
    <x v="0"/>
    <x v="0"/>
    <x v="2"/>
    <s v="類経巻五六色脈篇_条列版"/>
    <s v="類經卷五六色脈篇_條列版"/>
    <s v="張介賓"/>
    <x v="5"/>
    <n v="1624"/>
    <m/>
    <s v="https://jicheng.tw/tcm/book/%e9%a1%9e%e7%b6%93%e5%8d%b7%e4%ba%94%e5%85%ad%e8%89%b2%e8%84%88%e7%af%87%5f%e6%a2%9d%e5%88%97%e7%89%88/index.html"/>
  </r>
  <r>
    <x v="0"/>
    <x v="0"/>
    <x v="2"/>
    <s v="内経知要"/>
    <s v="內經知要"/>
    <s v="李中梓"/>
    <x v="5"/>
    <n v="1642"/>
    <m/>
    <s v="https://jicheng.tw/tcm/book/%e5%85%a7%e7%b6%93%e7%9f%a5%e8%a6%81/index.html"/>
  </r>
  <r>
    <x v="0"/>
    <x v="0"/>
    <x v="2"/>
    <s v="素問霊枢類纂約註"/>
    <s v="素問靈樞類纂約註"/>
    <s v="汪昂"/>
    <x v="3"/>
    <n v="1689"/>
    <m/>
    <s v="https://jicheng.tw/tcm/book/%e7%b4%a0%e5%95%8f%e9%9d%88%e6%a8%9e%e9%a1%9e%e7%ba%82%e7%b4%84%e8%a8%bb/index.html"/>
  </r>
  <r>
    <x v="0"/>
    <x v="0"/>
    <x v="2"/>
    <s v="霊素節注類編"/>
    <s v="靈素節注類編"/>
    <s v="章楠"/>
    <x v="3"/>
    <m/>
    <m/>
    <s v="https://jicheng.tw/tcm/book/%e9%9d%88%e7%b4%a0%e7%af%80%e6%b3%a8%e9%a1%9e%e7%b7%a8/index.html"/>
  </r>
  <r>
    <x v="0"/>
    <x v="0"/>
    <x v="2"/>
    <s v="医経原旨"/>
    <s v="醫經原旨"/>
    <s v="薛雪"/>
    <x v="3"/>
    <n v="1754"/>
    <m/>
    <s v="https://jicheng.tw/tcm/book/%e9%86%ab%e7%b6%93%e5%8e%9f%e6%97%a8/index.html"/>
  </r>
  <r>
    <x v="0"/>
    <x v="0"/>
    <x v="2"/>
    <s v="内経薬瀹"/>
    <s v="內經藥瀹"/>
    <s v="張驥"/>
    <x v="3"/>
    <n v="1675"/>
    <m/>
    <s v="https://jicheng.tw/tcm/book/%e5%85%a7%e7%b6%93%e8%97%a5%e7%80%b9/index.html"/>
  </r>
  <r>
    <x v="0"/>
    <x v="0"/>
    <x v="2"/>
    <s v="医経読"/>
    <s v="醫經讀"/>
    <s v="沈又彭"/>
    <x v="3"/>
    <n v="1764"/>
    <m/>
    <s v="https://jicheng.tw/tcm/book/%e9%86%ab%e7%b6%93%e8%ae%80/index.html"/>
  </r>
  <r>
    <x v="0"/>
    <x v="0"/>
    <x v="2"/>
    <s v="中西匯通医経精義"/>
    <s v="中西匯通醫經精義"/>
    <s v="唐宗海"/>
    <x v="3"/>
    <n v="1892"/>
    <m/>
    <s v="https://jicheng.tw/tcm/book/%e4%b8%ad%e8%a5%bf%e5%8c%af%e9%80%9a%e9%86%ab%e7%b6%93%e7%b2%be%e7%be%a9/index.html"/>
  </r>
  <r>
    <x v="0"/>
    <x v="0"/>
    <x v="2"/>
    <s v="黄帝素問宣明論方"/>
    <s v="黃帝素問宣明論方"/>
    <s v="劉完素"/>
    <x v="6"/>
    <n v="1186"/>
    <m/>
    <s v="https://jicheng.tw/tcm/book/%e9%bb%83%e5%b8%9d%e7%b4%a0%e5%95%8f%e5%ae%a3%e6%98%8e%e8%ab%96%e6%96%b9/index.html"/>
  </r>
  <r>
    <x v="0"/>
    <x v="0"/>
    <x v="2"/>
    <s v="黄帝素問宣明論方_1"/>
    <s v="黃帝素問宣明論方_1"/>
    <s v="劉完素"/>
    <x v="6"/>
    <n v="1186"/>
    <m/>
    <s v="https://jicheng.tw/tcm/book/%e9%bb%83%e5%b8%9d%e7%b4%a0%e5%95%8f%e5%ae%a3%e6%98%8e%e8%ab%96%e6%96%b9%5f%31/index.html"/>
  </r>
  <r>
    <x v="0"/>
    <x v="0"/>
    <x v="2"/>
    <s v="内経博議"/>
    <s v="內經博議"/>
    <s v="羅美"/>
    <x v="3"/>
    <n v="1675"/>
    <m/>
    <s v="https://jicheng.tw/tcm/book/%e5%85%a7%e7%b6%93%e5%8d%9a%e8%ad%b0/index.html"/>
  </r>
  <r>
    <x v="0"/>
    <x v="0"/>
    <x v="2"/>
    <s v="内経運気病釈"/>
    <s v="內經運氣病釋"/>
    <s v="陸懋修"/>
    <x v="3"/>
    <n v="1884"/>
    <m/>
    <s v="https://jicheng.tw/tcm/book/%e5%85%a7%e7%b6%93%e9%81%8b%e6%b0%a3%e7%97%85%e9%87%8b/index.html"/>
  </r>
  <r>
    <x v="0"/>
    <x v="0"/>
    <x v="2"/>
    <s v="内経運気表"/>
    <s v="內經運氣表"/>
    <s v="陸懋修"/>
    <x v="3"/>
    <n v="1884"/>
    <m/>
    <s v="https://jicheng.tw/tcm/book/%e5%85%a7%e7%b6%93%e9%81%8b%e6%b0%a3%e8%a1%a8/index.html"/>
  </r>
  <r>
    <x v="0"/>
    <x v="0"/>
    <x v="2"/>
    <s v="内経難字音義"/>
    <s v="內經難字音義"/>
    <s v="陸懋修"/>
    <x v="3"/>
    <n v="1884"/>
    <m/>
    <s v="https://jicheng.tw/tcm/book/%e5%85%a7%e7%b6%93%e9%9b%a3%e5%ad%97%e9%9f%b3%e7%be%a9/index.html"/>
  </r>
  <r>
    <x v="0"/>
    <x v="0"/>
    <x v="2"/>
    <s v="運気易覧"/>
    <s v="運氣易覽"/>
    <s v="汪石山"/>
    <x v="5"/>
    <n v="1528"/>
    <m/>
    <s v="https://jicheng.tw/tcm/book/%e9%81%8b%e6%b0%a3%e6%98%93%e8%a6%bd/index.html"/>
  </r>
  <r>
    <x v="0"/>
    <x v="0"/>
    <x v="2"/>
    <s v="外経微言"/>
    <s v="外經微言"/>
    <s v="陳士鐸"/>
    <x v="3"/>
    <n v="1698"/>
    <m/>
    <s v="https://jicheng.tw/tcm/book/%e5%a4%96%e7%b6%93%e5%be%ae%e8%a8%80/index.html"/>
  </r>
  <r>
    <x v="0"/>
    <x v="0"/>
    <x v="2"/>
    <s v="四聖懸枢"/>
    <s v="四聖懸樞"/>
    <s v="黃玉璐"/>
    <x v="3"/>
    <n v="1752"/>
    <m/>
    <s v="https://jicheng.tw/tcm/book/%e5%9b%9b%e8%81%96%e6%87%b8%e6%a8%9e/index.html"/>
  </r>
  <r>
    <x v="0"/>
    <x v="0"/>
    <x v="2"/>
    <s v="素霊微蘊"/>
    <s v="素靈微蘊"/>
    <s v="黃玉璐"/>
    <x v="3"/>
    <n v="1754"/>
    <m/>
    <s v="https://jicheng.tw/tcm/book/%e7%b4%a0%e9%9d%88%e5%be%ae%e8%98%8a/index.html"/>
  </r>
  <r>
    <x v="0"/>
    <x v="1"/>
    <x v="3"/>
    <s v="八十一難経 ****"/>
    <s v="八十一難經 ****"/>
    <s v="秦越人（扁鵲）"/>
    <x v="1"/>
    <m/>
    <m/>
    <s v="https://jicheng.tw/tcm/book/%e5%85%ab%e5%8d%81%e4%b8%80%e9%9b%a3%e7%b6%93/index.html"/>
  </r>
  <r>
    <x v="0"/>
    <x v="1"/>
    <x v="3"/>
    <s v="古本難経闡註 ****"/>
    <s v="古本難經闡註 ****"/>
    <s v="丁錦"/>
    <x v="3"/>
    <n v="1738"/>
    <m/>
    <s v="https://jicheng.tw/tcm/book/%e5%8f%a4%e6%9c%ac%e9%9b%a3%e7%b6%93%e9%97%a1%e8%a8%bb/index.html"/>
  </r>
  <r>
    <x v="0"/>
    <x v="1"/>
    <x v="3"/>
    <s v="難経集註"/>
    <s v="難經集註"/>
    <s v="王九思"/>
    <x v="5"/>
    <n v="1505"/>
    <m/>
    <s v="https://jicheng.tw/tcm/book/%e9%9b%a3%e7%b6%93%e9%9b%86%e8%a8%bb/index.html"/>
  </r>
  <r>
    <x v="0"/>
    <x v="1"/>
    <x v="3"/>
    <s v="難経古義"/>
    <s v="難經古義"/>
    <s v="丁錦"/>
    <x v="3"/>
    <m/>
    <m/>
    <s v="https://jicheng.tw/tcm/book/%e9%9b%a3%e7%b6%93%e5%8f%a4%e7%be%a9/index.html"/>
  </r>
  <r>
    <x v="0"/>
    <x v="1"/>
    <x v="3"/>
    <s v="難経正義"/>
    <s v="難經正義"/>
    <s v="葉霖"/>
    <x v="3"/>
    <n v="1895"/>
    <m/>
    <s v="https://jicheng.tw/tcm/book/%e9%9b%a3%e7%b6%93%e6%ad%a3%e7%be%a9/index.html"/>
  </r>
  <r>
    <x v="0"/>
    <x v="1"/>
    <x v="3"/>
    <s v="難経経釈 ****"/>
    <s v="難經經釋 ****"/>
    <s v="徐大椿"/>
    <x v="3"/>
    <n v="1727"/>
    <m/>
    <s v="https://jicheng.tw/tcm/book/%e9%9b%a3%e7%b6%93%e7%b6%93%e9%87%8b/index.html"/>
  </r>
  <r>
    <x v="0"/>
    <x v="1"/>
    <x v="3"/>
    <s v="難経本義"/>
    <s v="難經本義"/>
    <s v="滑壽"/>
    <x v="4"/>
    <n v="1361"/>
    <m/>
    <s v="https://jicheng.tw/tcm/book/%e9%9b%a3%e7%b6%93%e6%9c%ac%e7%be%a9/index.html"/>
  </r>
  <r>
    <x v="0"/>
    <x v="1"/>
    <x v="3"/>
    <s v="難経本義_条列版"/>
    <s v="難經本義_條列版"/>
    <s v="滑壽"/>
    <x v="4"/>
    <m/>
    <m/>
    <s v="https://jicheng.tw/tcm/book/%e9%9b%a3%e7%b6%93%e6%9c%ac%e7%be%a9%5f%e6%a2%9d%e5%88%97%e7%89%88/index.html"/>
  </r>
  <r>
    <x v="0"/>
    <x v="1"/>
    <x v="3"/>
    <s v="難経疏証"/>
    <s v="難經疏證"/>
    <s v="丹波元胤"/>
    <x v="3"/>
    <m/>
    <m/>
    <s v="https://jicheng.tw/tcm/book/%e9%9b%a3%e7%b6%93%e7%96%8f%e8%ad%89/index.html"/>
  </r>
  <r>
    <x v="0"/>
    <x v="1"/>
    <x v="3"/>
    <s v="難経懸解"/>
    <s v="難經懸解"/>
    <s v="黄玉璐"/>
    <x v="3"/>
    <n v="1756"/>
    <m/>
    <s v="https://jicheng.tw/tcm/book/%e9%9b%a3%e7%b6%93%e6%87%b8%e8%a7%a3/index.html"/>
  </r>
  <r>
    <x v="0"/>
    <x v="1"/>
    <x v="3"/>
    <s v="鍥王氏秘伝図註八十一難経評林捷径統宗"/>
    <s v="鍥王氏秘傳圖註八十一難經評林捷徑統宗"/>
    <m/>
    <x v="5"/>
    <n v="1599"/>
    <m/>
    <s v="https://jicheng.tw/tcm/book/%e9%8d%a5%e7%8e%8b%e6%b0%8f%e7%a7%98%e5%82%b3%e5%9c%96%e8%a8%bb%e5%85%ab%e5%8d%81%e4%b8%80%e9%9b%a3%e7%b6%93%e8%a9%95%e6%9e%97%e6%8d%b7%e5%be%91%e7%b5%b1%e5%ae%97/index.html"/>
  </r>
  <r>
    <x v="0"/>
    <x v="1"/>
    <x v="3"/>
    <s v="黄帝八十一難経纂図句解"/>
    <s v="黃帝八十一難經纂圖句解"/>
    <s v="李駉"/>
    <x v="9"/>
    <n v="1269"/>
    <m/>
    <s v="https://jicheng.tw/tcm/book/%e9%bb%83%e5%b8%9d%e5%85%ab%e5%8d%81%e4%b8%80%e9%9b%a3%e7%b6%93%e7%ba%82%e5%9c%96%e5%8f%a5%e8%a7%a3/index.html"/>
  </r>
  <r>
    <x v="0"/>
    <x v="2"/>
    <x v="3"/>
    <s v="馬王堆簡帛( 十問, 合陰陽, 天下至道談, 胎產書, 雜禁方, 養生方, 卻穀食氣, 導引圖)"/>
    <s v="馬王堆簡帛"/>
    <m/>
    <x v="1"/>
    <m/>
    <m/>
    <s v="https://jicheng.tw/tcm/book/%e9%a6%ac%e7%8e%8b%e5%a0%86%e7%b0%a1%e5%b8%9b/index.html"/>
  </r>
  <r>
    <x v="0"/>
    <x v="2"/>
    <x v="3"/>
    <s v="黄帝外経"/>
    <s v="黃帝外經"/>
    <m/>
    <x v="1"/>
    <m/>
    <m/>
    <s v="https://jicheng.tw/tcm/book/%e9%bb%83%e5%b8%9d%e5%a4%96%e7%b6%93/index.html"/>
  </r>
  <r>
    <x v="1"/>
    <x v="3"/>
    <x v="3"/>
    <s v="医燈続焰"/>
    <s v="醫燈續焰"/>
    <s v="潘楫"/>
    <x v="3"/>
    <n v="1652"/>
    <m/>
    <s v="https://jicheng.tw/tcm/book/%e9%86%ab%e7%87%88%e7%ba%8c%e7%84%b0/index.html"/>
  </r>
  <r>
    <x v="1"/>
    <x v="3"/>
    <x v="3"/>
    <s v="察病指南"/>
    <s v="察病指南"/>
    <s v="施発"/>
    <x v="2"/>
    <n v="1241"/>
    <m/>
    <s v="https://jicheng.tw/tcm/book/%e5%af%9f%e7%97%85%e6%8c%87%e5%8d%97/index.html"/>
  </r>
  <r>
    <x v="1"/>
    <x v="3"/>
    <x v="3"/>
    <s v="四診抉微"/>
    <s v="四診抉微"/>
    <s v="林之瀚"/>
    <x v="3"/>
    <n v="1723"/>
    <m/>
    <s v="https://jicheng.tw/tcm/book/%e5%9b%9b%e8%a8%ba%e6%8a%89%e5%be%ae/index.html"/>
  </r>
  <r>
    <x v="1"/>
    <x v="3"/>
    <x v="3"/>
    <s v="医宗金鑑·四診心法要訣"/>
    <s v="醫宗金鑑·四診心法要訣"/>
    <s v="吳謙等"/>
    <x v="3"/>
    <n v="1742"/>
    <m/>
    <s v="https://jicheng.tw/tcm/book/%E9%86%AB%E5%AE%97%E9%87%91%E9%91%91/%E5%9B%9B%E8%A8%BA%E5%BF%83%E6%B3%95%E8%A6%81%E8%A8%A3/index.html"/>
  </r>
  <r>
    <x v="1"/>
    <x v="3"/>
    <x v="3"/>
    <s v="医会元要"/>
    <s v="醫會元要"/>
    <s v="蔡貽績"/>
    <x v="3"/>
    <n v="1812"/>
    <m/>
    <s v="https://jicheng.tw/tcm/book/%e9%86%ab%e6%9c%83%e5%85%83%e8%a6%81/index.html"/>
  </r>
  <r>
    <x v="1"/>
    <x v="3"/>
    <x v="3"/>
    <s v="医学指要"/>
    <s v="醫學指要"/>
    <s v="蔡貽績"/>
    <x v="3"/>
    <n v="1812"/>
    <m/>
    <s v="https://jicheng.tw/tcm/book/%e9%86%ab%e5%ad%b8%e6%8c%87%e8%a6%81/index.html"/>
  </r>
  <r>
    <x v="1"/>
    <x v="3"/>
    <x v="3"/>
    <s v="重訂診家直訣 ****"/>
    <s v="重訂診家直訣 ****"/>
    <s v="周學海"/>
    <x v="3"/>
    <m/>
    <m/>
    <s v="https://jicheng.tw/tcm/book/%e9%87%8d%e8%a8%82%e8%a8%ba%e5%ae%b6%e7%9b%b4%e8%a8%a3/index.html"/>
  </r>
  <r>
    <x v="1"/>
    <x v="3"/>
    <x v="3"/>
    <s v="医階弁証"/>
    <s v="醫階辨證"/>
    <s v="汪必昌"/>
    <x v="3"/>
    <n v="1810"/>
    <m/>
    <s v="https://jicheng.tw/tcm/book/%e9%86%ab%e9%9a%8e%e8%be%a8%e8%ad%89/index.html"/>
  </r>
  <r>
    <x v="1"/>
    <x v="3"/>
    <x v="3"/>
    <s v="医験随筆"/>
    <s v="醫驗隨筆"/>
    <s v="張文藻"/>
    <x v="3"/>
    <m/>
    <m/>
    <s v="https://jicheng.tw/tcm/book/%e9%86%ab%e9%a9%97%e9%9a%a8%e7%ad%86/index.html"/>
  </r>
  <r>
    <x v="1"/>
    <x v="3"/>
    <x v="3"/>
    <s v="証治心伝"/>
    <s v="證治心傳"/>
    <s v="袁班"/>
    <x v="5"/>
    <n v="1643"/>
    <m/>
    <s v="https://jicheng.tw/tcm/book/%e8%ad%89%e6%b2%bb%e5%bf%83%e5%82%b3/index.html"/>
  </r>
  <r>
    <x v="1"/>
    <x v="3"/>
    <x v="3"/>
    <s v="証治心伝_1"/>
    <s v="證治心傳_1"/>
    <s v="袁班"/>
    <x v="5"/>
    <n v="1643"/>
    <m/>
    <s v="https://jicheng.tw/tcm/book/%e8%ad%89%e6%b2%bb%e5%bf%83%e5%82%b3%5f%31/index.html"/>
  </r>
  <r>
    <x v="1"/>
    <x v="4"/>
    <x v="3"/>
    <s v="脈経"/>
    <s v="脈經"/>
    <s v="王叔和"/>
    <x v="10"/>
    <n v="280"/>
    <m/>
    <s v="https://jicheng.tw/tcm/book/%e8%84%88%e7%b6%93/index.html"/>
  </r>
  <r>
    <x v="1"/>
    <x v="4"/>
    <x v="3"/>
    <s v="脈経_1"/>
    <s v="脈經_1"/>
    <s v="王叔和"/>
    <x v="10"/>
    <n v="280"/>
    <m/>
    <s v="https://jicheng.tw/tcm/book/%e8%84%88%e7%b6%93%5f%31/index.html"/>
  </r>
  <r>
    <x v="1"/>
    <x v="4"/>
    <x v="3"/>
    <s v="脈訣指掌病式図説"/>
    <s v="脈訣指掌病式圖說"/>
    <s v="朱震亨"/>
    <x v="4"/>
    <n v="1248"/>
    <m/>
    <s v="https://jicheng.tw/tcm/book/%e8%84%88%e8%a8%a3%e6%8c%87%e6%8e%8c%e7%97%85%e5%bc%8f%e5%9c%96%e8%aa%aa/index.html"/>
  </r>
  <r>
    <x v="1"/>
    <x v="4"/>
    <x v="3"/>
    <s v="脈確"/>
    <s v="脈確"/>
    <s v="黃韞兮"/>
    <x v="3"/>
    <n v="1746"/>
    <m/>
    <s v="https://jicheng.tw/tcm/book/%e8%84%88%e7%a2%ba/index.html"/>
  </r>
  <r>
    <x v="1"/>
    <x v="4"/>
    <x v="3"/>
    <s v="瀕湖脈学"/>
    <s v="瀕湖脈學"/>
    <s v="李時珍"/>
    <x v="5"/>
    <n v="1564"/>
    <m/>
    <s v="https://jicheng.tw/tcm/book/%e7%80%95%e6%b9%96%e8%84%88%e5%ad%b8/index.html"/>
  </r>
  <r>
    <x v="1"/>
    <x v="4"/>
    <x v="3"/>
    <s v="瀕湖脈学脈訣"/>
    <s v="瀕湖脈學脈訣"/>
    <m/>
    <x v="1"/>
    <m/>
    <s v="自《瀕湖脈學》各章節摘錄整理"/>
    <s v="https://jicheng.tw/tcm/book/%e7%80%95%e6%b9%96%e8%84%88%e5%ad%b8%e8%84%88%e8%a8%a3/index.html"/>
  </r>
  <r>
    <x v="1"/>
    <x v="4"/>
    <x v="3"/>
    <s v="脈訣乳海"/>
    <s v="脈訣乳海"/>
    <s v="王邦博"/>
    <x v="3"/>
    <n v="1891"/>
    <m/>
    <s v="https://jicheng.tw/tcm/book/%e8%84%88%e8%a8%a3%e4%b9%b3%e6%b5%b7/index.html"/>
  </r>
  <r>
    <x v="1"/>
    <x v="4"/>
    <x v="3"/>
    <s v="訂正太素脈秘訣"/>
    <s v="訂正太素脈秘訣"/>
    <s v="張太素"/>
    <x v="5"/>
    <m/>
    <m/>
    <s v="https://jicheng.tw/tcm/book/%e8%a8%82%e6%ad%a3%e5%a4%aa%e7%b4%a0%e8%84%88%e7%a7%98%e8%a8%a3/index.html"/>
  </r>
  <r>
    <x v="1"/>
    <x v="4"/>
    <x v="3"/>
    <s v="脈訣彙弁"/>
    <s v="脈訣彙辨"/>
    <s v="李延是"/>
    <x v="3"/>
    <n v="1664"/>
    <m/>
    <s v="https://jicheng.tw/tcm/book/%e8%84%88%e8%a8%a3%e5%bd%99%e8%be%a8/index.html"/>
  </r>
  <r>
    <x v="1"/>
    <x v="4"/>
    <x v="3"/>
    <s v="脈訣考証"/>
    <s v="脈訣考證"/>
    <s v="李時珍"/>
    <x v="5"/>
    <m/>
    <m/>
    <s v="https://jicheng.tw/tcm/book/%e8%84%88%e8%a8%a3%e8%80%83%e8%ad%89/index.html"/>
  </r>
  <r>
    <x v="1"/>
    <x v="4"/>
    <x v="3"/>
    <s v="診家正眼"/>
    <s v="診家正眼"/>
    <s v="李中梓"/>
    <x v="5"/>
    <n v="1642"/>
    <m/>
    <s v="https://jicheng.tw/tcm/book/%e8%a8%ba%e5%ae%b6%e6%ad%a3%e7%9c%bc/index.html"/>
  </r>
  <r>
    <x v="1"/>
    <x v="4"/>
    <x v="3"/>
    <s v="三指禅"/>
    <s v="三指禪"/>
    <s v="周學霆"/>
    <x v="3"/>
    <n v="1827"/>
    <m/>
    <s v="https://jicheng.tw/tcm/book/%e4%b8%89%e6%8c%87%e7%a6%aa/index.html"/>
  </r>
  <r>
    <x v="1"/>
    <x v="4"/>
    <x v="3"/>
    <s v="診宗三昧"/>
    <s v="診宗三昧"/>
    <s v="張璐"/>
    <x v="3"/>
    <n v="1689"/>
    <m/>
    <s v="https://jicheng.tw/tcm/book/%e8%a8%ba%e5%ae%97%e4%b8%89%e6%98%a7/index.html"/>
  </r>
  <r>
    <x v="1"/>
    <x v="4"/>
    <x v="3"/>
    <s v="診家枢要"/>
    <s v="診家樞要"/>
    <s v="滑壽"/>
    <x v="4"/>
    <n v="1359"/>
    <m/>
    <s v="https://jicheng.tw/tcm/book/%e8%a8%ba%e5%ae%b6%e6%a8%9e%e8%a6%81/index.html"/>
  </r>
  <r>
    <x v="1"/>
    <x v="4"/>
    <x v="3"/>
    <s v="脈理求真"/>
    <s v="脈理求真"/>
    <s v="黃宮繡"/>
    <x v="3"/>
    <n v="1769"/>
    <m/>
    <s v="https://jicheng.tw/tcm/book/%e8%84%88%e7%90%86%e6%b1%82%e7%9c%9f/index.html"/>
  </r>
  <r>
    <x v="1"/>
    <x v="4"/>
    <x v="3"/>
    <s v="脈訣"/>
    <s v="脈訣"/>
    <s v="崔嘉彥"/>
    <x v="2"/>
    <n v="1189"/>
    <m/>
    <s v="https://jicheng.tw/tcm/book/%e8%84%88%e8%a8%a3/index.html"/>
  </r>
  <r>
    <x v="1"/>
    <x v="4"/>
    <x v="3"/>
    <s v="脈訣刊誤"/>
    <s v="脈訣刊誤"/>
    <s v="元‧戴起宗撰，明‧汪機補訂"/>
    <x v="4"/>
    <m/>
    <m/>
    <s v="https://jicheng.tw/tcm/book/%e8%84%88%e8%a8%a3%e5%88%8a%e8%aa%a4/index.html"/>
  </r>
  <r>
    <x v="1"/>
    <x v="4"/>
    <x v="3"/>
    <s v="脈象統類"/>
    <s v="脈象統類"/>
    <s v="沈金鰲"/>
    <x v="3"/>
    <n v="1773"/>
    <m/>
    <s v="https://jicheng.tw/tcm/book/%e8%84%88%e8%b1%a1%e7%b5%b1%e9%a1%9e/index.html"/>
  </r>
  <r>
    <x v="1"/>
    <x v="4"/>
    <x v="3"/>
    <s v="諸脈主病詩"/>
    <s v="諸脈主病詩"/>
    <s v="沈金鰲"/>
    <x v="3"/>
    <s v="1717-1776"/>
    <m/>
    <s v="https://jicheng.tw/tcm/book/%e8%ab%b8%e8%84%88%e4%b8%bb%e7%97%85%e8%a9%a9/index.html"/>
  </r>
  <r>
    <x v="1"/>
    <x v="4"/>
    <x v="3"/>
    <s v="脈経鈔"/>
    <s v="脈經鈔"/>
    <s v="孫鼎宜"/>
    <x v="3"/>
    <m/>
    <m/>
    <s v="https://jicheng.tw/tcm/book/%e8%84%88%e7%b6%93%e9%88%94/index.html"/>
  </r>
  <r>
    <x v="1"/>
    <x v="4"/>
    <x v="3"/>
    <s v="脈訣新編"/>
    <s v="脈訣新編"/>
    <s v="劉本昌"/>
    <x v="11"/>
    <n v="1941"/>
    <m/>
    <s v="https://jicheng.tw/tcm/book/%e8%84%88%e8%a8%a3%e6%96%b0%e7%b7%a8/index.html"/>
  </r>
  <r>
    <x v="1"/>
    <x v="4"/>
    <x v="3"/>
    <s v="医学脈燈"/>
    <s v="醫學脈燈"/>
    <s v="常朝宜"/>
    <x v="3"/>
    <n v="1749"/>
    <m/>
    <s v="https://jicheng.tw/tcm/book/%e9%86%ab%e5%ad%b8%e8%84%88%e7%87%88/index.html"/>
  </r>
  <r>
    <x v="1"/>
    <x v="4"/>
    <x v="3"/>
    <s v="脈理集要"/>
    <s v="脈理集要"/>
    <s v="王宦"/>
    <x v="5"/>
    <m/>
    <m/>
    <s v="https://jicheng.tw/tcm/book/%e8%84%88%e7%90%86%e9%9b%86%e8%a6%81/index.html"/>
  </r>
  <r>
    <x v="1"/>
    <x v="4"/>
    <x v="3"/>
    <s v="脈学類編"/>
    <s v="脈學類編"/>
    <s v="崔嘉彥"/>
    <x v="2"/>
    <m/>
    <m/>
    <s v="https://jicheng.tw/tcm/book/%e8%84%88%e5%ad%b8%e9%a1%9e%e7%b7%a8/index.html"/>
  </r>
  <r>
    <x v="1"/>
    <x v="4"/>
    <x v="3"/>
    <s v="脈貫"/>
    <s v="脈貫"/>
    <s v="王賢"/>
    <x v="3"/>
    <n v="1710"/>
    <m/>
    <s v="https://jicheng.tw/tcm/book/%e8%84%88%e8%b2%ab/index.html"/>
  </r>
  <r>
    <x v="1"/>
    <x v="4"/>
    <x v="3"/>
    <s v="脈学輯要"/>
    <s v="脈學輯要"/>
    <s v="丹波元簡"/>
    <x v="3"/>
    <m/>
    <m/>
    <s v="https://jicheng.tw/tcm/book/%e8%84%88%e5%ad%b8%e8%bc%af%e8%a6%81/index.html"/>
  </r>
  <r>
    <x v="1"/>
    <x v="4"/>
    <x v="3"/>
    <s v="脈義簡摩"/>
    <s v="脈義簡摩"/>
    <s v="周學海"/>
    <x v="3"/>
    <n v="1891"/>
    <m/>
    <s v="https://jicheng.tw/tcm/book/%e8%84%88%e7%be%a9%e7%b0%a1%e6%91%a9/index.html"/>
  </r>
  <r>
    <x v="1"/>
    <x v="4"/>
    <x v="3"/>
    <s v="脈簡補義"/>
    <s v="脈簡補義"/>
    <s v="周學海"/>
    <x v="3"/>
    <n v="1892"/>
    <m/>
    <s v="https://jicheng.tw/tcm/book/%e8%84%88%e7%b0%a1%e8%a3%9c%e7%be%a9/index.html"/>
  </r>
  <r>
    <x v="1"/>
    <x v="4"/>
    <x v="3"/>
    <s v="弁脈平脈章句"/>
    <s v="辨脈平脈章句"/>
    <s v="周學海"/>
    <x v="3"/>
    <n v="1891"/>
    <m/>
    <s v="https://jicheng.tw/tcm/book/%e8%be%a8%e8%84%88%e5%b9%b3%e8%84%88%e7%ab%a0%e5%8f%a5/index.html"/>
  </r>
  <r>
    <x v="1"/>
    <x v="4"/>
    <x v="3"/>
    <s v="脈訣闡微"/>
    <s v="脈訣闡微"/>
    <s v="陳士鐸"/>
    <x v="3"/>
    <m/>
    <m/>
    <s v="https://jicheng.tw/tcm/book/%e8%84%88%e8%a8%a3%e9%97%a1%e5%be%ae/index.html"/>
  </r>
  <r>
    <x v="1"/>
    <x v="4"/>
    <x v="3"/>
    <s v="脈訣闡微_1"/>
    <s v="脈訣闡微_1"/>
    <s v="陳士鐸"/>
    <x v="3"/>
    <m/>
    <m/>
    <s v="https://jicheng.tw/tcm/book/%e8%84%88%e8%a8%a3%e9%97%a1%e5%be%ae%5f%31/index.html"/>
  </r>
  <r>
    <x v="1"/>
    <x v="4"/>
    <x v="3"/>
    <s v="脈語"/>
    <s v="脈語"/>
    <s v="吳昆"/>
    <x v="5"/>
    <n v="1584"/>
    <m/>
    <s v="https://jicheng.tw/tcm/book/%e8%84%88%e8%aa%9e/index.html"/>
  </r>
  <r>
    <x v="1"/>
    <x v="4"/>
    <x v="3"/>
    <s v="丹渓脈訣指掌"/>
    <s v="丹溪脈訣指掌"/>
    <s v="劉吉人"/>
    <x v="3"/>
    <m/>
    <m/>
    <s v="https://jicheng.tw/tcm/book/%e4%b8%b9%e6%ba%aa%e8%84%88%e8%a8%a3%e6%8c%87%e6%8e%8c/index.html"/>
  </r>
  <r>
    <x v="1"/>
    <x v="4"/>
    <x v="3"/>
    <s v="重訂時行伏陰芻言"/>
    <s v="重訂時行伏陰芻言"/>
    <s v="田宗漢"/>
    <x v="3"/>
    <m/>
    <m/>
    <s v="https://jicheng.tw/tcm/book/%e9%87%8d%e8%a8%82%e6%99%82%e8%a1%8c%e4%bc%8f%e9%99%b0%e8%8a%bb%e8%a8%80/index.html"/>
  </r>
  <r>
    <x v="1"/>
    <x v="4"/>
    <x v="3"/>
    <s v="診脈三十二弁"/>
    <s v="診脈三十二辨"/>
    <s v="管玉衡"/>
    <x v="3"/>
    <m/>
    <m/>
    <s v="https://jicheng.tw/tcm/book/%e8%a8%ba%e8%84%88%e4%b8%89%e5%8d%81%e4%ba%8c%e8%be%a8/index.html"/>
  </r>
  <r>
    <x v="1"/>
    <x v="4"/>
    <x v="3"/>
    <s v="診脈三十二弁_1"/>
    <s v="診脈三十二辨_1"/>
    <s v="管玉衡"/>
    <x v="3"/>
    <m/>
    <m/>
    <s v="https://jicheng.tw/tcm/book/%e8%a8%ba%e8%84%88%e4%b8%89%e5%8d%81%e4%ba%8c%e8%be%a8%5f%31/index.html"/>
  </r>
  <r>
    <x v="1"/>
    <x v="4"/>
    <x v="3"/>
    <s v="医学真経察脈総括"/>
    <s v="醫學真經察脈總括"/>
    <s v="楊士瀛"/>
    <x v="9"/>
    <m/>
    <m/>
    <s v="https://jicheng.tw/tcm/book/%e9%86%ab%e5%ad%b8%e7%9c%9f%e7%b6%93%e5%af%9f%e8%84%88%e7%b8%bd%e6%8b%ac/index.html"/>
  </r>
  <r>
    <x v="1"/>
    <x v="4"/>
    <x v="3"/>
    <s v="鍥王氏秘伝叔和図注釈義脈訣評林捷径統宗"/>
    <s v="鍥王氏秘傳叔和圖注釋義脉訣評林捷徑統宗"/>
    <m/>
    <x v="5"/>
    <n v="1599"/>
    <m/>
    <s v="https://jicheng.tw/tcm/book/%e9%8d%a5%e7%8e%8b%e6%b0%8f%e7%a7%98%e5%82%b3%e5%8f%94%e5%92%8c%e5%9c%96%e6%b3%a8%e9%87%8b%e7%be%a9%e8%84%89%e8%a8%a3%e8%a9%95%e6%9e%97%e6%8d%b7%e5%be%91%e7%b5%b1%e5%ae%97/index.html"/>
  </r>
  <r>
    <x v="1"/>
    <x v="4"/>
    <x v="3"/>
    <s v="新刊勿聴子俗解脈訣"/>
    <s v="新刊勿聽子俗解脈訣"/>
    <s v="熊宗立"/>
    <x v="5"/>
    <m/>
    <m/>
    <s v="https://jicheng.tw/tcm/book/%e6%96%b0%e5%88%8a%e5%8b%bf%e8%81%bd%e5%ad%90%e4%bf%97%e8%a7%a3%e8%84%88%e8%a8%a3/index.html"/>
  </r>
  <r>
    <x v="1"/>
    <x v="4"/>
    <x v="3"/>
    <s v="新編診脈須知"/>
    <s v="新編診脈須知"/>
    <s v="吳洪"/>
    <x v="5"/>
    <m/>
    <m/>
    <s v="https://jicheng.tw/tcm/book/%e6%96%b0%e7%b7%a8%e8%a8%ba%e8%84%88%e9%a0%88%e7%9f%a5/index.html"/>
  </r>
  <r>
    <x v="1"/>
    <x v="4"/>
    <x v="3"/>
    <s v="図註王叔和脈訣"/>
    <s v="圖註王叔和脈訣"/>
    <s v="張世賢"/>
    <x v="5"/>
    <m/>
    <m/>
    <s v="https://jicheng.tw/tcm/book/%e5%9c%96%e8%a8%bb%e7%8e%8b%e5%8f%94%e5%92%8c%e8%84%88%e8%a8%a3/index.html"/>
  </r>
  <r>
    <x v="1"/>
    <x v="5"/>
    <x v="3"/>
    <s v="形色外診簡摩"/>
    <s v="形色外診簡摩"/>
    <s v="周學海"/>
    <x v="3"/>
    <n v="1894"/>
    <m/>
    <s v="https://jicheng.tw/tcm/book/%e5%bd%a2%e8%89%b2%e5%a4%96%e8%a8%ba%e7%b0%a1%e6%91%a9/index.html"/>
  </r>
  <r>
    <x v="1"/>
    <x v="5"/>
    <x v="3"/>
    <s v="望診遵経"/>
    <s v="望診遵經"/>
    <s v="汪宏"/>
    <x v="3"/>
    <n v="1875"/>
    <m/>
    <s v="https://jicheng.tw/tcm/book/%e6%9c%9b%e8%a8%ba%e9%81%b5%e7%b6%93/index.html"/>
  </r>
  <r>
    <x v="1"/>
    <x v="6"/>
    <x v="3"/>
    <s v="敖氏傷寒金鏡録"/>
    <s v="敖氏傷寒金鏡錄"/>
    <s v="杜本"/>
    <x v="4"/>
    <n v="1341"/>
    <m/>
    <s v="https://jicheng.tw/tcm/book/%e6%95%96%e6%b0%8f%e5%82%b7%e5%af%92%e9%87%91%e9%8f%a1%e9%8c%84/index.html"/>
  </r>
  <r>
    <x v="1"/>
    <x v="6"/>
    <x v="3"/>
    <s v="臨症験舌法"/>
    <s v="臨症驗舌法"/>
    <s v="楊雲峰"/>
    <x v="3"/>
    <n v="1917"/>
    <m/>
    <s v="https://jicheng.tw/tcm/book/%e8%87%a8%e7%97%87%e9%a9%97%e8%88%8c%e6%b3%95/index.html"/>
  </r>
  <r>
    <x v="1"/>
    <x v="6"/>
    <x v="3"/>
    <s v="察舌弁症新法"/>
    <s v="察舌辨症新法"/>
    <s v="劉恆瑞"/>
    <x v="3"/>
    <n v="1911"/>
    <m/>
    <s v="https://jicheng.tw/tcm/book/%e5%af%9f%e8%88%8c%e8%be%a8%e7%97%87%e6%96%b0%e6%b3%95/index.html"/>
  </r>
  <r>
    <x v="1"/>
    <x v="6"/>
    <x v="3"/>
    <s v="傷寒舌鑑"/>
    <s v="傷寒舌鑑"/>
    <s v="張登"/>
    <x v="3"/>
    <n v="1668"/>
    <m/>
    <s v="https://jicheng.tw/tcm/book/%e5%82%b7%e5%af%92%e8%88%8c%e9%91%91/index.html"/>
  </r>
  <r>
    <x v="1"/>
    <x v="6"/>
    <x v="3"/>
    <s v="舌診問答"/>
    <s v="舌診問答"/>
    <s v="何舒"/>
    <x v="11"/>
    <n v="1947"/>
    <m/>
    <s v="https://jicheng.tw/tcm/book/%e8%88%8c%e8%a8%ba%e5%95%8f%e7%ad%94/index.html"/>
  </r>
  <r>
    <x v="1"/>
    <x v="6"/>
    <x v="3"/>
    <s v="弁舌指南"/>
    <s v="辨舌指南"/>
    <s v="曹炳章"/>
    <x v="11"/>
    <n v="1916"/>
    <m/>
    <s v="https://jicheng.tw/tcm/book/%e8%be%a8%e8%88%8c%e6%8c%87%e5%8d%97/index.html"/>
  </r>
  <r>
    <x v="2"/>
    <x v="7"/>
    <x v="3"/>
    <s v="神農本草経"/>
    <s v="神農本草經"/>
    <s v="佚名，清·孫星衍、孫馮翼輯"/>
    <x v="12"/>
    <m/>
    <m/>
    <s v="https://jicheng.tw/tcm/book/%e7%a5%9e%e8%be%b2%e6%9c%ac%e8%8d%89%e7%b6%93/index.html"/>
  </r>
  <r>
    <x v="2"/>
    <x v="7"/>
    <x v="3"/>
    <s v="神農本草経_1"/>
    <s v="神農本草經_1"/>
    <m/>
    <x v="12"/>
    <m/>
    <m/>
    <s v="https://jicheng.tw/tcm/book/%e7%a5%9e%e8%be%b2%e6%9c%ac%e8%8d%89%e7%b6%93%5f%31/index.html"/>
  </r>
  <r>
    <x v="2"/>
    <x v="7"/>
    <x v="3"/>
    <s v="神農本草経_2"/>
    <s v="神農本草經_2"/>
    <m/>
    <x v="12"/>
    <m/>
    <m/>
    <s v="https://jicheng.tw/tcm/book/%e7%a5%9e%e8%be%b2%e6%9c%ac%e8%8d%89%e7%b6%93%5f%32/index.html"/>
  </r>
  <r>
    <x v="2"/>
    <x v="7"/>
    <x v="3"/>
    <s v="呉普本草"/>
    <s v="吳普本草"/>
    <s v="呉普"/>
    <x v="13"/>
    <s v="200-250"/>
    <m/>
    <s v="https://jicheng.tw/tcm/book/%e5%90%b3%e6%99%ae%e6%9c%ac%e8%8d%89/index.html"/>
  </r>
  <r>
    <x v="2"/>
    <x v="7"/>
    <x v="3"/>
    <s v="本草経集註"/>
    <s v="本草經集註"/>
    <s v="陶弘景"/>
    <x v="14"/>
    <n v="536"/>
    <m/>
    <s v="https://jicheng.tw/tcm/book/%e6%9c%ac%e8%8d%89%e7%b6%93%e9%9b%86%e8%a8%bb/index.html"/>
  </r>
  <r>
    <x v="2"/>
    <x v="7"/>
    <x v="3"/>
    <s v="新修本草"/>
    <s v="新修本草"/>
    <s v="蘇敬等"/>
    <x v="7"/>
    <n v="659"/>
    <m/>
    <s v="https://jicheng.tw/tcm/book/%e6%96%b0%e4%bf%ae%e6%9c%ac%e8%8d%89/index.html"/>
  </r>
  <r>
    <x v="2"/>
    <x v="7"/>
    <x v="3"/>
    <s v="海薬本草"/>
    <s v="海藥本草"/>
    <s v="李珣"/>
    <x v="15"/>
    <s v="907-960"/>
    <m/>
    <s v="https://jicheng.tw/tcm/book/%e6%b5%b7%e8%97%a5%e6%9c%ac%e8%8d%89/index.html"/>
  </r>
  <r>
    <x v="2"/>
    <x v="7"/>
    <x v="3"/>
    <s v="本草図経"/>
    <s v="本草圖經"/>
    <s v="蘇頌"/>
    <x v="2"/>
    <n v="1061"/>
    <m/>
    <s v="https://jicheng.tw/tcm/book/%e6%9c%ac%e8%8d%89%e5%9c%96%e7%b6%93/index.html"/>
  </r>
  <r>
    <x v="2"/>
    <x v="7"/>
    <x v="3"/>
    <s v="名医別録"/>
    <s v="名醫別錄"/>
    <s v="佚名，陶弘景輯錄"/>
    <x v="16"/>
    <s v="205-220"/>
    <m/>
    <s v="https://jicheng.tw/tcm/book/%e5%90%8d%e9%86%ab%e5%88%a5%e9%8c%84/index.html"/>
  </r>
  <r>
    <x v="2"/>
    <x v="7"/>
    <x v="3"/>
    <s v="食療本草"/>
    <s v="食療本草"/>
    <s v="孟詵撰，張鼎增補改編"/>
    <x v="7"/>
    <s v="701-704"/>
    <m/>
    <s v="https://jicheng.tw/tcm/book/%e9%a3%9f%e7%99%82%e6%9c%ac%e8%8d%89/index.html"/>
  </r>
  <r>
    <x v="2"/>
    <x v="8"/>
    <x v="3"/>
    <s v="証類本草"/>
    <s v="證類本草"/>
    <s v="唐慎微"/>
    <x v="2"/>
    <s v="1097-1108"/>
    <m/>
    <s v="https://jicheng.tw/tcm/book/%e8%ad%89%e9%a1%9e%e6%9c%ac%e8%8d%89/index.html"/>
  </r>
  <r>
    <x v="2"/>
    <x v="8"/>
    <x v="3"/>
    <s v="本草衍義"/>
    <s v="本草衍義"/>
    <s v="寇宗奭"/>
    <x v="2"/>
    <n v="1119"/>
    <m/>
    <s v="https://jicheng.tw/tcm/book/%e6%9c%ac%e8%8d%89%e8%a1%8d%e7%be%a9/index.html"/>
  </r>
  <r>
    <x v="2"/>
    <x v="8"/>
    <x v="3"/>
    <s v="湯液本草"/>
    <s v="湯液本草"/>
    <s v="王好古"/>
    <x v="4"/>
    <n v="1298"/>
    <m/>
    <s v="https://jicheng.tw/tcm/book/%e6%b9%af%e6%b6%b2%e6%9c%ac%e8%8d%89/index.html"/>
  </r>
  <r>
    <x v="2"/>
    <x v="8"/>
    <x v="3"/>
    <s v="本草発揮"/>
    <s v="本草發揮"/>
    <s v=" 徐彥純"/>
    <x v="5"/>
    <n v="1384"/>
    <m/>
    <s v="https://jicheng.tw/tcm/book/%e6%9c%ac%e8%8d%89%e7%99%bc%e6%8f%ae/index.html"/>
  </r>
  <r>
    <x v="2"/>
    <x v="8"/>
    <x v="3"/>
    <s v="本草集方"/>
    <s v="本草集方"/>
    <m/>
    <x v="1"/>
    <m/>
    <m/>
    <s v="https://jicheng.tw/tcm/book/%e6%9c%ac%e8%8d%89%e9%9b%86%e6%96%b9/index.html"/>
  </r>
  <r>
    <x v="2"/>
    <x v="8"/>
    <x v="3"/>
    <s v="紹興本草"/>
    <s v="紹興本草"/>
    <s v="王繼先、高紹功、紫源、張孝直等撰"/>
    <x v="2"/>
    <m/>
    <m/>
    <s v="https://jicheng.tw/tcm/book/%e7%b4%b9%e8%88%88%e6%9c%ac%e8%8d%89/index.html"/>
  </r>
  <r>
    <x v="2"/>
    <x v="8"/>
    <x v="3"/>
    <s v="珍珠囊薬性賦"/>
    <s v="珍珠囊藥性賦"/>
    <s v="張元素"/>
    <x v="6"/>
    <m/>
    <m/>
    <s v="https://jicheng.tw/tcm/book/%e7%8f%8d%e7%8f%a0%e5%9b%8a%e8%97%a5%e6%80%a7%e8%b3%a6/index.html"/>
  </r>
  <r>
    <x v="2"/>
    <x v="8"/>
    <x v="3"/>
    <s v="珍珠囊補遺薬性賦"/>
    <s v="珍珠囊補遺藥性賦"/>
    <s v="李杲（疑託名）"/>
    <x v="5"/>
    <n v="1250"/>
    <m/>
    <s v="https://jicheng.tw/tcm/book/%e7%8f%8d%e7%8f%a0%e5%9b%8a%e8%a3%9c%e9%81%ba%e8%97%a5%e6%80%a7%e8%b3%a6/index.html"/>
  </r>
  <r>
    <x v="2"/>
    <x v="8"/>
    <x v="3"/>
    <s v="增広和剤局方薬性総論"/>
    <s v="增廣和劑局方藥性總論"/>
    <m/>
    <x v="4"/>
    <s v="1279-1368"/>
    <m/>
    <s v="https://jicheng.tw/tcm/book/%e5%a2%9e%e5%bb%a3%e5%92%8c%e5%8a%91%e5%b1%80%e6%96%b9%e8%97%a5%e6%80%a7%e7%b8%bd%e8%ab%96/index.html"/>
  </r>
  <r>
    <x v="2"/>
    <x v="8"/>
    <x v="3"/>
    <s v="本草衍句"/>
    <s v="本草衍句"/>
    <s v="寇宗奭"/>
    <x v="2"/>
    <m/>
    <m/>
    <s v="https://jicheng.tw/tcm/book/%e6%9c%ac%e8%8d%89%e8%a1%8d%e5%8f%a5/index.html"/>
  </r>
  <r>
    <x v="2"/>
    <x v="9"/>
    <x v="3"/>
    <s v="神農本草経疏"/>
    <s v="神農本草經疏"/>
    <s v="繆希雍"/>
    <x v="5"/>
    <n v="1625"/>
    <m/>
    <s v="https://jicheng.tw/tcm/book/%e7%a5%9e%e8%be%b2%e6%9c%ac%e8%8d%89%e7%b6%93%e7%96%8f/index.html"/>
  </r>
  <r>
    <x v="2"/>
    <x v="9"/>
    <x v="3"/>
    <s v="滇南本草"/>
    <s v="滇南本草"/>
    <s v="蘭茂"/>
    <x v="5"/>
    <n v="1436"/>
    <m/>
    <s v="https://jicheng.tw/tcm/book/%e6%bb%87%e5%8d%97%e6%9c%ac%e8%8d%89/index.html"/>
  </r>
  <r>
    <x v="2"/>
    <x v="9"/>
    <x v="3"/>
    <s v="本草品彙精要"/>
    <s v="本草品彙精要"/>
    <s v="劉文泰等"/>
    <x v="5"/>
    <n v="1505"/>
    <m/>
    <s v="https://jicheng.tw/tcm/book/%e6%9c%ac%e8%8d%89%e5%93%81%e5%bd%99%e7%b2%be%e8%a6%81/index.html"/>
  </r>
  <r>
    <x v="2"/>
    <x v="9"/>
    <x v="3"/>
    <s v="証治本草"/>
    <s v="證治本草"/>
    <s v="陸之柷"/>
    <x v="5"/>
    <s v="1522-1566"/>
    <m/>
    <s v="https://jicheng.tw/tcm/book/%e8%ad%89%e6%b2%bb%e6%9c%ac%e8%8d%89/index.html"/>
  </r>
  <r>
    <x v="2"/>
    <x v="9"/>
    <x v="3"/>
    <s v="救荒本草"/>
    <s v="救荒本草"/>
    <s v="朱橚"/>
    <x v="5"/>
    <n v="1555"/>
    <m/>
    <s v="https://jicheng.tw/tcm/book/%e6%95%91%e8%8d%92%e6%9c%ac%e8%8d%89/index.html"/>
  </r>
  <r>
    <x v="2"/>
    <x v="9"/>
    <x v="3"/>
    <s v="本草蒙筌"/>
    <s v="本草蒙筌"/>
    <s v=" 陳嘉謨"/>
    <x v="5"/>
    <n v="1565"/>
    <m/>
    <s v="https://jicheng.tw/tcm/book/%e6%9c%ac%e8%8d%89%e8%92%99%e7%ad%8c/index.html"/>
  </r>
  <r>
    <x v="2"/>
    <x v="9"/>
    <x v="3"/>
    <s v="本草綱目"/>
    <s v="本草綱目"/>
    <s v="李時珍"/>
    <x v="5"/>
    <n v="1578"/>
    <m/>
    <s v="https://jicheng.tw/tcm/book/%e6%9c%ac%e8%8d%89%e7%b6%b1%e7%9b%ae/index.html"/>
  </r>
  <r>
    <x v="2"/>
    <x v="9"/>
    <x v="3"/>
    <s v="本草乗雅半偈"/>
    <s v="本草乘雅半偈"/>
    <s v="盧之頤"/>
    <x v="5"/>
    <n v="1647"/>
    <m/>
    <s v="https://jicheng.tw/tcm/book/%e6%9c%ac%e8%8d%89%e4%b9%98%e9%9b%85%e5%8d%8a%e5%81%88/index.html"/>
  </r>
  <r>
    <x v="2"/>
    <x v="9"/>
    <x v="3"/>
    <s v="本草徴要"/>
    <s v="本草徵要"/>
    <s v="李中梓"/>
    <x v="5"/>
    <n v="1673"/>
    <m/>
    <s v="https://jicheng.tw/tcm/book/%e6%9c%ac%e8%8d%89%e5%be%b5%e8%a6%81/index.html"/>
  </r>
  <r>
    <x v="2"/>
    <x v="9"/>
    <x v="3"/>
    <s v="本草易読"/>
    <s v="本草易讀"/>
    <s v="汪昂（一說荊中允）"/>
    <x v="3"/>
    <n v="1694"/>
    <m/>
    <s v="https://jicheng.tw/tcm/book/%e6%9c%ac%e8%8d%89%e6%98%93%e8%ae%80/index.html"/>
  </r>
  <r>
    <x v="2"/>
    <x v="9"/>
    <x v="3"/>
    <s v="雷公炮製薬性解"/>
    <s v="雷公炮製藥性解"/>
    <s v=" 李中梓"/>
    <x v="5"/>
    <n v="1622"/>
    <m/>
    <s v="https://jicheng.tw/tcm/book/%e9%9b%b7%e5%85%ac%e7%82%ae%e8%a3%bd%e8%97%a5%e6%80%a7%e8%a7%a3/index.html"/>
  </r>
  <r>
    <x v="2"/>
    <x v="9"/>
    <x v="3"/>
    <s v="薬鑑"/>
    <s v="藥鑑"/>
    <s v=" 杜文燮"/>
    <x v="5"/>
    <n v="1598"/>
    <m/>
    <s v="https://jicheng.tw/tcm/book/%e8%97%a5%e9%91%91/index.html"/>
  </r>
  <r>
    <x v="2"/>
    <x v="9"/>
    <x v="3"/>
    <s v="本草正"/>
    <s v="本草正"/>
    <s v="張介賓"/>
    <x v="5"/>
    <n v="1624"/>
    <m/>
    <s v="https://jicheng.tw/tcm/book/%e6%9c%ac%e8%8d%89%e6%ad%a3/index.html"/>
  </r>
  <r>
    <x v="2"/>
    <x v="9"/>
    <x v="3"/>
    <s v="本草通玄"/>
    <s v="本草通玄"/>
    <s v="李中梓"/>
    <x v="5"/>
    <n v="1637"/>
    <m/>
    <s v="https://jicheng.tw/tcm/book/%e6%9c%ac%e8%8d%89%e9%80%9a%e7%8e%84/index.html"/>
  </r>
  <r>
    <x v="2"/>
    <x v="9"/>
    <x v="3"/>
    <s v="本草彙言"/>
    <s v="本草彙言"/>
    <s v="倪朱謨"/>
    <x v="5"/>
    <n v="1619"/>
    <m/>
    <s v="https://jicheng.tw/tcm/book/%e6%9c%ac%e8%8d%89%e5%bd%99%e8%a8%80/index.html"/>
  </r>
  <r>
    <x v="2"/>
    <x v="9"/>
    <x v="3"/>
    <s v="食物本草"/>
    <s v="食物本草"/>
    <s v="薛己"/>
    <x v="5"/>
    <n v="1520"/>
    <m/>
    <s v="https://jicheng.tw/tcm/book/%e9%a3%9f%e7%89%a9%e6%9c%ac%e8%8d%89/index.html"/>
  </r>
  <r>
    <x v="2"/>
    <x v="9"/>
    <x v="3"/>
    <s v="本草詳節"/>
    <s v="本草詳節"/>
    <s v="薛立齋"/>
    <x v="5"/>
    <m/>
    <m/>
    <s v="https://jicheng.tw/tcm/book/%e6%9c%ac%e8%8d%89%e8%a9%b3%e7%af%80/index.html"/>
  </r>
  <r>
    <x v="2"/>
    <x v="9"/>
    <x v="3"/>
    <s v="本草約言"/>
    <s v="本草約言"/>
    <s v="薛已"/>
    <x v="5"/>
    <n v="1550"/>
    <m/>
    <s v="https://jicheng.tw/tcm/book/%e6%9c%ac%e8%8d%89%e7%b4%84%e8%a8%80/index.html"/>
  </r>
  <r>
    <x v="2"/>
    <x v="10"/>
    <x v="3"/>
    <s v="食物本草会纂"/>
    <s v="食物本草會纂"/>
    <s v=" 沈李龍"/>
    <x v="3"/>
    <n v="1691"/>
    <m/>
    <s v="https://jicheng.tw/tcm/book/%e9%a3%9f%e7%89%a9%e6%9c%ac%e8%8d%89%e6%9c%83%e7%ba%82/index.html"/>
  </r>
  <r>
    <x v="2"/>
    <x v="10"/>
    <x v="3"/>
    <s v="本草備要"/>
    <s v="本草備要"/>
    <s v="汪昂"/>
    <x v="3"/>
    <n v="1694"/>
    <m/>
    <s v="https://jicheng.tw/tcm/book/%e6%9c%ac%e8%8d%89%e5%82%99%e8%a6%81/index.html"/>
  </r>
  <r>
    <x v="2"/>
    <x v="10"/>
    <x v="3"/>
    <s v="本草備要_条列版"/>
    <s v="本草備要_條列版"/>
    <s v="汪昂"/>
    <x v="3"/>
    <n v="1694"/>
    <m/>
    <s v="https://jicheng.tw/tcm/book/%e6%9c%ac%e8%8d%89%e5%82%99%e8%a6%81%5f%e6%a2%9d%e5%88%97%e7%89%88/index.html"/>
  </r>
  <r>
    <x v="2"/>
    <x v="10"/>
    <x v="3"/>
    <s v="增訂図註本草備要"/>
    <s v="增訂圖註本草備要"/>
    <s v="汪昂"/>
    <x v="3"/>
    <n v="1694"/>
    <m/>
    <s v="https://jicheng.tw/tcm/book/%e5%a2%9e%e8%a8%82%e5%9c%96%e8%a8%bb%e6%9c%ac%e8%8d%89%e5%82%99%e8%a6%81/index.html"/>
  </r>
  <r>
    <x v="2"/>
    <x v="10"/>
    <x v="3"/>
    <s v="要薬分剤"/>
    <s v="要藥分劑"/>
    <s v=" 沈金鰲"/>
    <x v="3"/>
    <n v="1773"/>
    <m/>
    <s v="https://jicheng.tw/tcm/book/%e8%a6%81%e8%97%a5%e5%88%86%e5%8a%91/index.html"/>
  </r>
  <r>
    <x v="2"/>
    <x v="10"/>
    <x v="3"/>
    <s v="本草新編"/>
    <s v="本草新編"/>
    <s v="陳士鐸"/>
    <x v="3"/>
    <n v="1689"/>
    <m/>
    <s v="https://jicheng.tw/tcm/book/%e6%9c%ac%e8%8d%89%e6%96%b0%e7%b7%a8/index.html"/>
  </r>
  <r>
    <x v="2"/>
    <x v="10"/>
    <x v="3"/>
    <s v="本経逢原"/>
    <s v="本經逢原"/>
    <s v="張璐"/>
    <x v="3"/>
    <n v="1695"/>
    <m/>
    <s v="https://jicheng.tw/tcm/book/%e6%9c%ac%e7%b6%93%e9%80%a2%e5%8e%9f/index.html"/>
  </r>
  <r>
    <x v="2"/>
    <x v="10"/>
    <x v="3"/>
    <s v="本経逢原_1"/>
    <s v="本經逢原_1"/>
    <s v="張璐"/>
    <x v="3"/>
    <n v="1695"/>
    <m/>
    <s v="https://jicheng.tw/tcm/book/%e6%9c%ac%e7%b6%93%e9%80%a2%e5%8e%9f%5f%31/index.html"/>
  </r>
  <r>
    <x v="2"/>
    <x v="10"/>
    <x v="3"/>
    <s v="本草経解"/>
    <s v="本草經解"/>
    <s v="姚球（原題葉天士撰）"/>
    <x v="3"/>
    <n v="1724"/>
    <m/>
    <s v="https://jicheng.tw/tcm/book/%e6%9c%ac%e8%8d%89%e7%b6%93%e8%a7%a3/index.html"/>
  </r>
  <r>
    <x v="2"/>
    <x v="10"/>
    <x v="3"/>
    <s v="本草従新"/>
    <s v="本草從新"/>
    <s v="吳儀洛"/>
    <x v="3"/>
    <n v="1757"/>
    <m/>
    <s v="https://jicheng.tw/tcm/book/%e6%9c%ac%e8%8d%89%e5%be%9e%e6%96%b0/index.html"/>
  </r>
  <r>
    <x v="2"/>
    <x v="10"/>
    <x v="3"/>
    <s v="神農本草経読"/>
    <s v="神農本草經讀"/>
    <s v="陳念祖"/>
    <x v="3"/>
    <n v="1803"/>
    <m/>
    <s v="https://jicheng.tw/tcm/book/%e7%a5%9e%e8%be%b2%e6%9c%ac%e8%8d%89%e7%b6%93%e8%ae%80/index.html"/>
  </r>
  <r>
    <x v="2"/>
    <x v="10"/>
    <x v="3"/>
    <s v="神農本草経読_条列版"/>
    <s v="神農本草經讀_條列版"/>
    <m/>
    <x v="1"/>
    <m/>
    <m/>
    <s v="https://jicheng.tw/tcm/book/%e7%a5%9e%e8%be%b2%e6%9c%ac%e8%8d%89%e7%b6%93%e8%ae%80%5f%e6%a2%9d%e5%88%97%e7%89%88/index.html"/>
  </r>
  <r>
    <x v="2"/>
    <x v="10"/>
    <x v="3"/>
    <s v="神農本草経百種録 ****"/>
    <s v="神農本草經百種錄 ****"/>
    <s v="徐大椿"/>
    <x v="3"/>
    <n v="1736"/>
    <m/>
    <s v="https://jicheng.tw/tcm/book/%e7%a5%9e%e8%be%b2%e6%9c%ac%e8%8d%89%e7%b6%93%e7%99%be%e7%a8%ae%e9%8c%84/index.html"/>
  </r>
  <r>
    <x v="2"/>
    <x v="10"/>
    <x v="3"/>
    <s v="本草綱目拾遺"/>
    <s v="本草綱目拾遺"/>
    <s v="趙學敏"/>
    <x v="3"/>
    <n v="1765"/>
    <m/>
    <s v="https://jicheng.tw/tcm/book/%e6%9c%ac%e8%8d%89%e7%b6%b1%e7%9b%ae%e6%8b%be%e9%81%ba/index.html"/>
  </r>
  <r>
    <x v="2"/>
    <x v="10"/>
    <x v="3"/>
    <s v="本草崇原"/>
    <s v="本草崇原"/>
    <s v="者張志聰歿而書未成，後由弟子高世栻續成"/>
    <x v="3"/>
    <n v="1674"/>
    <m/>
    <s v="https://jicheng.tw/tcm/book/%e6%9c%ac%e8%8d%89%e5%b4%87%e5%8e%9f/index.html"/>
  </r>
  <r>
    <x v="2"/>
    <x v="10"/>
    <x v="3"/>
    <s v="本草求真"/>
    <s v="本草求真"/>
    <s v="黃宮繡"/>
    <x v="3"/>
    <n v="1769"/>
    <m/>
    <s v="https://jicheng.tw/tcm/book/%e6%9c%ac%e8%8d%89%e6%b1%82%e7%9c%9f/index.html"/>
  </r>
  <r>
    <x v="2"/>
    <x v="10"/>
    <x v="3"/>
    <s v="本草求真_1"/>
    <s v="本草求真_1"/>
    <s v="黃宮繡"/>
    <x v="3"/>
    <n v="1769"/>
    <m/>
    <s v="https://jicheng.tw/tcm/book/%e6%9c%ac%e8%8d%89%e6%b1%82%e7%9c%9f%5f%31/index.html"/>
  </r>
  <r>
    <x v="2"/>
    <x v="10"/>
    <x v="3"/>
    <s v="本草述鈎元"/>
    <s v="本草述鉤元"/>
    <s v=" 楊時泰"/>
    <x v="3"/>
    <n v="1833"/>
    <m/>
    <s v="https://jicheng.tw/tcm/book/%e6%9c%ac%e8%8d%89%e8%bf%b0%e9%89%a4%e5%85%83/index.html"/>
  </r>
  <r>
    <x v="2"/>
    <x v="10"/>
    <x v="3"/>
    <s v="本草思弁録 ****"/>
    <s v="本草思辨錄 ****"/>
    <s v="周巖"/>
    <x v="3"/>
    <n v="1904"/>
    <m/>
    <s v="https://jicheng.tw/tcm/book/%e6%9c%ac%e8%8d%89%e6%80%9d%e8%be%a8%e9%8c%84/index.html"/>
  </r>
  <r>
    <x v="2"/>
    <x v="10"/>
    <x v="3"/>
    <s v="本草綱目別名録"/>
    <s v="本草綱目別名錄"/>
    <s v="李時珍"/>
    <x v="5"/>
    <n v="1578"/>
    <m/>
    <s v="https://jicheng.tw/tcm/book/%e6%9c%ac%e8%8d%89%e7%b6%b1%e7%9b%ae%e5%88%a5%e5%90%8d%e9%8c%84/index.html"/>
  </r>
  <r>
    <x v="2"/>
    <x v="10"/>
    <x v="3"/>
    <s v="本草撮要"/>
    <s v="本草撮要"/>
    <s v="陳其瑞"/>
    <x v="3"/>
    <n v="1901"/>
    <m/>
    <s v="https://jicheng.tw/tcm/book/%e6%9c%ac%e8%8d%89%e6%92%ae%e8%a6%81/index.html"/>
  </r>
  <r>
    <x v="2"/>
    <x v="10"/>
    <x v="3"/>
    <s v="本草問答"/>
    <s v="本草問答"/>
    <s v="唐宗海"/>
    <x v="3"/>
    <n v="1893"/>
    <m/>
    <s v="https://jicheng.tw/tcm/book/%e6%9c%ac%e8%8d%89%e5%95%8f%e7%ad%94/index.html"/>
  </r>
  <r>
    <x v="2"/>
    <x v="10"/>
    <x v="3"/>
    <s v="本草択要綱目"/>
    <s v="本草擇要綱目"/>
    <s v="蔣介繁"/>
    <x v="3"/>
    <n v="1679"/>
    <m/>
    <s v="https://jicheng.tw/tcm/book/%e6%9c%ac%e8%8d%89%e6%93%87%e8%a6%81%e7%b6%b1%e7%9b%ae/index.html"/>
  </r>
  <r>
    <x v="2"/>
    <x v="10"/>
    <x v="3"/>
    <s v="得配本草"/>
    <s v="得配本草"/>
    <s v="嚴潔、施雯、洪煒全"/>
    <x v="3"/>
    <n v="1761"/>
    <m/>
    <s v="https://jicheng.tw/tcm/book/%e5%be%97%e9%85%8d%e6%9c%ac%e8%8d%89/index.html"/>
  </r>
  <r>
    <x v="2"/>
    <x v="10"/>
    <x v="3"/>
    <s v="本草害利"/>
    <s v="本草害利"/>
    <s v="凌奐"/>
    <x v="3"/>
    <n v="1862"/>
    <m/>
    <s v="https://jicheng.tw/tcm/book/%e6%9c%ac%e8%8d%89%e5%ae%b3%e5%88%a9/index.html"/>
  </r>
  <r>
    <x v="2"/>
    <x v="10"/>
    <x v="3"/>
    <s v="本草分経"/>
    <s v="本草分經"/>
    <s v="姚瀾"/>
    <x v="3"/>
    <n v="1840"/>
    <m/>
    <s v="https://jicheng.tw/tcm/book/%e6%9c%ac%e8%8d%89%e5%88%86%e7%b6%93/index.html"/>
  </r>
  <r>
    <x v="2"/>
    <x v="10"/>
    <x v="3"/>
    <s v="薬性切用"/>
    <s v="藥性切用"/>
    <s v="徐大椿"/>
    <x v="3"/>
    <n v="1764"/>
    <m/>
    <s v="https://jicheng.tw/tcm/book/%e8%97%a5%e6%80%a7%e5%88%87%e7%94%a8/index.html"/>
  </r>
  <r>
    <x v="2"/>
    <x v="10"/>
    <x v="3"/>
    <s v="薬論"/>
    <s v="藥論"/>
    <s v="沈文彬"/>
    <x v="3"/>
    <m/>
    <m/>
    <s v="https://jicheng.tw/tcm/book/%e8%97%a5%e8%ab%96/index.html"/>
  </r>
  <r>
    <x v="2"/>
    <x v="10"/>
    <x v="3"/>
    <s v="本草正義"/>
    <s v="本草正義"/>
    <s v="張壽頤"/>
    <x v="11"/>
    <n v="1920"/>
    <m/>
    <s v="https://jicheng.tw/tcm/book/%e6%9c%ac%e8%8d%89%e6%ad%a3%e7%be%a9/index.html"/>
  </r>
  <r>
    <x v="2"/>
    <x v="10"/>
    <x v="3"/>
    <s v="長沙薬解"/>
    <s v="長沙藥解"/>
    <s v="黃玉璐"/>
    <x v="3"/>
    <n v="1753"/>
    <m/>
    <s v="https://jicheng.tw/tcm/book/%e9%95%b7%e6%b2%99%e8%97%a5%e8%a7%a3/index.html"/>
  </r>
  <r>
    <x v="2"/>
    <x v="10"/>
    <x v="3"/>
    <s v="玉楸薬解"/>
    <s v="玉楸藥解"/>
    <s v="黃玉璐"/>
    <x v="3"/>
    <n v="1754"/>
    <m/>
    <s v="https://jicheng.tw/tcm/book/%e7%8e%89%e6%a5%b8%e8%97%a5%e8%a7%a3/index.html"/>
  </r>
  <r>
    <x v="2"/>
    <x v="10"/>
    <x v="3"/>
    <s v="本経疏証 ***"/>
    <s v="本經疏證 ***"/>
    <s v="鄒澍"/>
    <x v="3"/>
    <n v="1832"/>
    <m/>
    <s v="https://jicheng.tw/tcm/book/%E6%9C%AC%E7%B6%93%E7%96%8F%E8%AD%89/index.html"/>
  </r>
  <r>
    <x v="2"/>
    <x v="10"/>
    <x v="3"/>
    <s v="食鑑本草"/>
    <s v="食鑑本草"/>
    <s v="費伯雄"/>
    <x v="3"/>
    <n v="1883"/>
    <m/>
    <s v="https://jicheng.tw/tcm/book/%e9%a3%9f%e9%91%91%e6%9c%ac%e8%8d%89/index.html"/>
  </r>
  <r>
    <x v="2"/>
    <x v="10"/>
    <x v="3"/>
    <s v="本草便読"/>
    <s v="本草便讀"/>
    <s v="張秉成"/>
    <x v="3"/>
    <n v="1887"/>
    <m/>
    <s v="https://jicheng.tw/tcm/book/%e6%9c%ac%e8%8d%89%e4%be%bf%e8%ae%80/index.html"/>
  </r>
  <r>
    <x v="2"/>
    <x v="10"/>
    <x v="3"/>
    <s v="神農本草経賛"/>
    <s v="神農本草經贊"/>
    <s v="葉志洗"/>
    <x v="3"/>
    <n v="1850"/>
    <m/>
    <s v="https://jicheng.tw/tcm/book/%e7%a5%9e%e8%be%b2%e6%9c%ac%e8%8d%89%e7%b6%93%e8%b4%8a/index.html"/>
  </r>
  <r>
    <x v="2"/>
    <x v="10"/>
    <x v="3"/>
    <s v="薬症忌宜"/>
    <s v="藥症忌宜"/>
    <s v="陳澈"/>
    <x v="3"/>
    <n v="1872"/>
    <m/>
    <s v="https://jicheng.tw/tcm/book/%e8%97%a5%e7%97%87%e5%bf%8c%e5%ae%9c/index.html"/>
  </r>
  <r>
    <x v="2"/>
    <x v="10"/>
    <x v="3"/>
    <s v="增訂偽薬条弁"/>
    <s v="增訂偽藥條辨"/>
    <s v="曹炳章"/>
    <x v="11"/>
    <n v="1928"/>
    <m/>
    <s v="https://jicheng.tw/tcm/book/%e5%a2%9e%e8%a8%82%e5%81%bd%e8%97%a5%e6%a2%9d%e8%be%a8/index.html"/>
  </r>
  <r>
    <x v="2"/>
    <x v="11"/>
    <x v="3"/>
    <s v="本草和名"/>
    <s v="本草和名"/>
    <s v="深江輔仁"/>
    <x v="1"/>
    <n v="918"/>
    <m/>
    <s v="https://jicheng.tw/tcm/book/%e6%9c%ac%e8%8d%89%e5%92%8c%e5%90%8d/index.html"/>
  </r>
  <r>
    <x v="2"/>
    <x v="11"/>
    <x v="3"/>
    <s v="薬種抄"/>
    <s v="藥種抄"/>
    <s v="保元"/>
    <x v="1"/>
    <m/>
    <m/>
    <s v="https://jicheng.tw/tcm/book/%e8%97%a5%e7%a8%ae%e6%8a%84/index.html"/>
  </r>
  <r>
    <x v="2"/>
    <x v="11"/>
    <x v="3"/>
    <s v="穀類抄"/>
    <s v="穀類抄"/>
    <m/>
    <x v="1"/>
    <m/>
    <m/>
    <s v="https://jicheng.tw/tcm/book/%e7%a9%80%e9%a1%9e%e6%8a%84/index.html"/>
  </r>
  <r>
    <x v="2"/>
    <x v="11"/>
    <x v="3"/>
    <s v="香要抄"/>
    <s v="香要抄"/>
    <m/>
    <x v="1"/>
    <m/>
    <m/>
    <s v="https://jicheng.tw/tcm/book/%e9%a6%99%e8%a6%81%e6%8a%84/index.html"/>
  </r>
  <r>
    <x v="2"/>
    <x v="11"/>
    <x v="3"/>
    <s v="薬性能毒"/>
    <s v="藥性能毒"/>
    <s v="曲直瀨道三"/>
    <x v="1"/>
    <n v="1608"/>
    <m/>
    <s v="https://jicheng.tw/tcm/book/%e8%97%a5%e6%80%a7%e8%83%bd%e6%af%92/index.html"/>
  </r>
  <r>
    <x v="2"/>
    <x v="11"/>
    <x v="3"/>
    <s v="薬徴"/>
    <s v="藥徵"/>
    <s v="吉益爲則"/>
    <x v="3"/>
    <n v="1771"/>
    <m/>
    <s v="https://jicheng.tw/tcm/book/%e8%97%a5%e5%be%b5/index.html"/>
  </r>
  <r>
    <x v="2"/>
    <x v="11"/>
    <x v="3"/>
    <s v="薬徴続編"/>
    <s v="藥徵續編"/>
    <s v="村井杶"/>
    <x v="3"/>
    <n v="1796"/>
    <m/>
    <s v="https://jicheng.tw/tcm/book/%e8%97%a5%e5%be%b5%e7%ba%8c%e7%b7%a8/index.html"/>
  </r>
  <r>
    <x v="2"/>
    <x v="11"/>
    <x v="3"/>
    <s v="漢薬研究綱要"/>
    <s v="漢藥研究綱要"/>
    <s v="久保田晴光"/>
    <x v="1"/>
    <m/>
    <m/>
    <s v="https://jicheng.tw/tcm/book/%e6%bc%a2%e8%97%a5%e7%a0%94%e7%a9%b6%e7%b6%b1%e8%a6%81/index.html"/>
  </r>
  <r>
    <x v="2"/>
    <x v="11"/>
    <x v="3"/>
    <s v="中国薬物学大綱"/>
    <s v="中國藥物學大綱"/>
    <s v="伊豫平住"/>
    <x v="11"/>
    <n v="1936"/>
    <m/>
    <s v="https://jicheng.tw/tcm/book/%e4%b8%ad%e5%9c%8b%e8%97%a5%e7%89%a9%e5%ad%b8%e5%a4%a7%e7%b6%b1/index.html"/>
  </r>
  <r>
    <x v="2"/>
    <x v="11"/>
    <x v="3"/>
    <s v="鹿茸之研究"/>
    <s v="鹿茸之研究"/>
    <s v="峰下鐵雄"/>
    <x v="1"/>
    <m/>
    <m/>
    <s v="https://jicheng.tw/tcm/book/%e9%b9%bf%e8%8c%b8%e4%b9%8b%e7%a0%94%e7%a9%b6/index.html"/>
  </r>
  <r>
    <x v="2"/>
    <x v="11"/>
    <x v="3"/>
    <s v="犀黄之研究"/>
    <s v="犀黃之研究"/>
    <s v="杉本重利"/>
    <x v="1"/>
    <m/>
    <m/>
    <s v="https://jicheng.tw/tcm/book/%e7%8a%80%e9%bb%83%e4%b9%8b%e7%a0%94%e7%a9%b6/index.html"/>
  </r>
  <r>
    <x v="2"/>
    <x v="11"/>
    <x v="3"/>
    <s v="中国薬一百種之化学実験"/>
    <s v="中國藥一百種之化學實驗"/>
    <s v="中尾萬三"/>
    <x v="11"/>
    <n v="1936"/>
    <m/>
    <s v="https://jicheng.tw/tcm/book/%e4%b8%ad%e5%9c%8b%e8%97%a5%e4%b8%80%e7%99%be%e7%a8%ae%e4%b9%8b%e5%8c%96%e5%ad%b8%e5%af%a6%e9%a9%97/index.html"/>
  </r>
  <r>
    <x v="2"/>
    <x v="11"/>
    <x v="3"/>
    <s v="漢薬良劣鑑別法"/>
    <s v="漢藥良劣鑑別法"/>
    <s v="一色直太郎"/>
    <x v="1"/>
    <m/>
    <m/>
    <s v="https://jicheng.tw/tcm/book/%e6%bc%a2%e8%97%a5%e8%89%af%e5%8a%a3%e9%91%91%e5%88%a5%e6%b3%95/index.html"/>
  </r>
  <r>
    <x v="2"/>
    <x v="11"/>
    <x v="3"/>
    <s v="日本医学史　＊中国医薬論文集"/>
    <s v="中國醫藥論文集"/>
    <s v="富士川遊"/>
    <x v="11"/>
    <n v="1936"/>
    <m/>
    <s v="https://jicheng.tw/tcm/book/%e4%b8%ad%e5%9c%8b%e9%86%ab%e8%97%a5%e8%ab%96%e6%96%87%e9%9b%86/index.html"/>
  </r>
  <r>
    <x v="2"/>
    <x v="12"/>
    <x v="3"/>
    <s v="雷公炮炙論"/>
    <s v="雷公炮炙論"/>
    <s v="雷斆"/>
    <x v="17"/>
    <n v="470"/>
    <m/>
    <s v="https://jicheng.tw/tcm/book/%e9%9b%b7%e5%85%ac%e7%82%ae%e7%82%99%e8%ab%96/index.html"/>
  </r>
  <r>
    <x v="2"/>
    <x v="12"/>
    <x v="3"/>
    <s v="瀕湖炮炙法"/>
    <s v="瀕湖炮炙法"/>
    <s v="李時珍"/>
    <x v="5"/>
    <s v="1518-1593"/>
    <m/>
    <s v="https://jicheng.tw/tcm/book/%e7%80%95%e6%b9%96%e7%82%ae%e7%82%99%e6%b3%95/index.html"/>
  </r>
  <r>
    <x v="2"/>
    <x v="12"/>
    <x v="3"/>
    <s v="炮炙大法"/>
    <s v="炮炙大法"/>
    <s v="繆希雍"/>
    <x v="5"/>
    <n v="1622"/>
    <m/>
    <s v="https://jicheng.tw/tcm/book/%e7%82%ae%e7%82%99%e5%a4%a7%e6%b3%95/index.html"/>
  </r>
  <r>
    <x v="2"/>
    <x v="12"/>
    <x v="3"/>
    <s v="炮炙全書"/>
    <s v="炮炙全書"/>
    <s v="稻生宣義"/>
    <x v="3"/>
    <n v="1702"/>
    <m/>
    <s v="https://jicheng.tw/tcm/book/%e7%82%ae%e7%82%99%e5%85%a8%e6%9b%b8/index.html"/>
  </r>
  <r>
    <x v="3"/>
    <x v="13"/>
    <x v="3"/>
    <s v="五十二病方"/>
    <s v="五十二病方"/>
    <m/>
    <x v="18"/>
    <n v="-215"/>
    <m/>
    <s v="https://jicheng.tw/tcm/book/%e4%ba%94%e5%8d%81%e4%ba%8c%e7%97%85%e6%96%b9/index.html"/>
  </r>
  <r>
    <x v="3"/>
    <x v="13"/>
    <x v="3"/>
    <s v="肘後備急方"/>
    <s v="肘後備急方"/>
    <s v="葛洪"/>
    <x v="19"/>
    <n v="341"/>
    <m/>
    <s v="https://jicheng.tw/tcm/book/%e8%82%98%e5%be%8c%e5%82%99%e6%80%a5%e6%96%b9/index.html"/>
  </r>
  <r>
    <x v="3"/>
    <x v="13"/>
    <x v="3"/>
    <s v="孫真人海上方"/>
    <s v="孫真人海上方"/>
    <s v="孫思邈（一說宋·錢竽）"/>
    <x v="7"/>
    <n v="1572"/>
    <m/>
    <s v="https://jicheng.tw/tcm/book/%e5%ad%ab%e7%9c%9f%e4%ba%ba%e6%b5%b7%e4%b8%8a%e6%96%b9/index.html"/>
  </r>
  <r>
    <x v="3"/>
    <x v="13"/>
    <x v="3"/>
    <s v="仙授理傷続断秘方"/>
    <s v="仙授理傷續斷秘方"/>
    <s v="藺道人"/>
    <x v="7"/>
    <n v="846"/>
    <m/>
    <s v="https://jicheng.tw/tcm/book/%e4%bb%99%e6%8e%88%e7%90%86%e5%82%b7%e7%ba%8c%e6%96%b7%e7%a7%98%e6%96%b9/index.html"/>
  </r>
  <r>
    <x v="3"/>
    <x v="13"/>
    <x v="3"/>
    <s v="華佗神方"/>
    <s v="華佗神方"/>
    <s v="華佗"/>
    <x v="20"/>
    <s v="145-208"/>
    <m/>
    <s v="https://jicheng.tw/tcm/book/%e8%8f%af%e4%bd%97%e7%a5%9e%e6%96%b9/index.html"/>
  </r>
  <r>
    <x v="3"/>
    <x v="13"/>
    <x v="3"/>
    <s v="小品方"/>
    <s v="小品方"/>
    <s v="陳延之"/>
    <x v="10"/>
    <m/>
    <m/>
    <s v="https://jicheng.tw/tcm/book/%e5%b0%8f%e5%93%81%e6%96%b9/index.html"/>
  </r>
  <r>
    <x v="3"/>
    <x v="14"/>
    <x v="3"/>
    <s v="太平聖恵方"/>
    <s v="太平聖惠方"/>
    <s v="王懷隱、陳昭遇等"/>
    <x v="2"/>
    <n v="992"/>
    <m/>
    <s v="https://jicheng.tw/tcm/book/%e5%a4%aa%e5%b9%b3%e8%81%96%e6%83%a0%e6%96%b9/index.html"/>
  </r>
  <r>
    <x v="3"/>
    <x v="14"/>
    <x v="3"/>
    <s v="博済方"/>
    <s v="博濟方"/>
    <s v="王袞"/>
    <x v="2"/>
    <n v="1047"/>
    <m/>
    <s v="https://jicheng.tw/tcm/book/%e5%8d%9a%e6%bf%9f%e6%96%b9/index.html"/>
  </r>
  <r>
    <x v="3"/>
    <x v="14"/>
    <x v="3"/>
    <s v="蘇沈良方"/>
    <s v="蘇沈良方"/>
    <s v="蘇軾、沈括"/>
    <x v="2"/>
    <n v="1075"/>
    <m/>
    <s v="https://jicheng.tw/tcm/book/%e8%98%87%e6%b2%88%e8%89%af%e6%96%b9/index.html"/>
  </r>
  <r>
    <x v="3"/>
    <x v="14"/>
    <x v="3"/>
    <s v="史載之方"/>
    <s v="史載之方"/>
    <s v="史堪"/>
    <x v="2"/>
    <n v="1068"/>
    <m/>
    <s v="https://jicheng.tw/tcm/book/%e5%8f%b2%e8%bc%89%e4%b9%8b%e6%96%b9/index.html"/>
  </r>
  <r>
    <x v="3"/>
    <x v="14"/>
    <x v="3"/>
    <s v="太平恵民和剤局方"/>
    <s v="太平惠民和劑局方"/>
    <s v="太平惠民和劑局"/>
    <x v="2"/>
    <s v="1078-1085"/>
    <m/>
    <s v="https://jicheng.tw/tcm/book/%e5%a4%aa%e5%b9%b3%e6%83%a0%e6%b0%91%e5%92%8c%e5%8a%91%e5%b1%80%e6%96%b9/index.html"/>
  </r>
  <r>
    <x v="3"/>
    <x v="14"/>
    <x v="3"/>
    <s v="太平恵民和剤局方_1"/>
    <s v="太平惠民和劑局方_1"/>
    <s v="太平惠民和劑局"/>
    <x v="2"/>
    <m/>
    <m/>
    <s v="https://jicheng.tw/tcm/book/%e5%a4%aa%e5%b9%b3%e6%83%a0%e6%b0%91%e5%92%8c%e5%8a%91%e5%b1%80%e6%96%b9%5f%31/index.html"/>
  </r>
  <r>
    <x v="3"/>
    <x v="14"/>
    <x v="3"/>
    <s v="聖済総録"/>
    <s v="聖濟總錄"/>
    <s v="北宋徽宗趙佶主持編纂"/>
    <x v="2"/>
    <s v="1111-1118"/>
    <m/>
    <s v="https://jicheng.tw/tcm/book/%e8%81%96%e6%bf%9f%e7%b8%bd%e9%8c%84/index.html"/>
  </r>
  <r>
    <x v="3"/>
    <x v="14"/>
    <x v="3"/>
    <s v="聖済総録纂要"/>
    <s v="聖濟總錄纂要"/>
    <s v="程林"/>
    <x v="3"/>
    <n v="1681"/>
    <m/>
    <s v="https://jicheng.tw/tcm/book/%e8%81%96%e6%bf%9f%e7%b8%bd%e9%8c%84%e7%ba%82%e8%a6%81/index.html"/>
  </r>
  <r>
    <x v="3"/>
    <x v="14"/>
    <x v="3"/>
    <s v="雞峰普済方"/>
    <s v="雞峰普濟方"/>
    <s v="張銳"/>
    <x v="2"/>
    <n v="1133"/>
    <m/>
    <s v="https://jicheng.tw/tcm/book/%e9%9b%9e%e5%b3%b0%e6%99%ae%e6%bf%9f%e6%96%b9/index.html"/>
  </r>
  <r>
    <x v="3"/>
    <x v="14"/>
    <x v="3"/>
    <s v="普済本事方"/>
    <s v="普濟本事方"/>
    <s v="許叔微"/>
    <x v="9"/>
    <n v="1132"/>
    <m/>
    <s v="https://jicheng.tw/tcm/book/%e6%99%ae%e6%bf%9f%e6%9c%ac%e4%ba%8b%e6%96%b9/index.html"/>
  </r>
  <r>
    <x v="3"/>
    <x v="14"/>
    <x v="3"/>
    <s v="洪氏集験方"/>
    <s v="洪氏集驗方"/>
    <s v="洪遵"/>
    <x v="2"/>
    <n v="1170"/>
    <m/>
    <s v="https://jicheng.tw/tcm/book/%e6%b4%aa%e6%b0%8f%e9%9b%86%e9%a9%97%e6%96%b9/index.html"/>
  </r>
  <r>
    <x v="3"/>
    <x v="14"/>
    <x v="3"/>
    <s v="楊氏家蔵方"/>
    <s v="楊氏家藏方"/>
    <s v="楊倓"/>
    <x v="9"/>
    <n v="1178"/>
    <m/>
    <s v="https://jicheng.tw/tcm/book/%e6%a5%8a%e6%b0%8f%e5%ae%b6%e8%97%8f%e6%96%b9/index.html"/>
  </r>
  <r>
    <x v="3"/>
    <x v="14"/>
    <x v="3"/>
    <s v="千金宝要"/>
    <s v="千金寶要"/>
    <s v="郭思"/>
    <x v="2"/>
    <n v="1124"/>
    <m/>
    <s v="https://jicheng.tw/tcm/book/%e5%8d%83%e9%87%91%e5%af%b6%e8%a6%81/index.html"/>
  </r>
  <r>
    <x v="3"/>
    <x v="14"/>
    <x v="3"/>
    <s v="全生指迷方"/>
    <s v="全生指迷方"/>
    <s v="王貺"/>
    <x v="2"/>
    <s v="1100-1150"/>
    <m/>
    <s v="https://jicheng.tw/tcm/book/%e5%85%a8%e7%94%9f%e6%8c%87%e8%bf%b7%e6%96%b9/index.html"/>
  </r>
  <r>
    <x v="3"/>
    <x v="14"/>
    <x v="3"/>
    <s v="婦人大全良方"/>
    <s v="婦人大全良方"/>
    <s v="陳自明"/>
    <x v="9"/>
    <n v="1237"/>
    <m/>
    <s v="https://jicheng.tw/tcm/book/%e5%a9%a6%e4%ba%ba%e5%a4%a7%e5%85%a8%e8%89%af%e6%96%b9/index.html"/>
  </r>
  <r>
    <x v="3"/>
    <x v="14"/>
    <x v="3"/>
    <s v="仁斎直指方論"/>
    <s v="仁齋直指方論"/>
    <s v="楊士瀛"/>
    <x v="9"/>
    <n v="1264"/>
    <m/>
    <s v="https://jicheng.tw/tcm/book/%e4%bb%81%e9%bd%8b%e7%9b%b4%e6%8c%87%e6%96%b9%e8%ab%96/index.html"/>
  </r>
  <r>
    <x v="3"/>
    <x v="14"/>
    <x v="3"/>
    <s v="厳氏済生方"/>
    <s v="嚴氏濟生方"/>
    <s v="嚴用和"/>
    <x v="9"/>
    <n v="1253"/>
    <m/>
    <s v="https://jicheng.tw/tcm/book/%e5%9a%b4%e6%b0%8f%e6%bf%9f%e7%94%9f%e6%96%b9/index.html"/>
  </r>
  <r>
    <x v="3"/>
    <x v="14"/>
    <x v="3"/>
    <s v="瑞竹堂経験方"/>
    <s v="瑞竹堂經驗方"/>
    <s v="沙圖穆蘇"/>
    <x v="4"/>
    <n v="1326"/>
    <m/>
    <s v="https://jicheng.tw/tcm/book/%e7%91%9e%e7%ab%b9%e5%a0%82%e7%b6%93%e9%a9%97%e6%96%b9/index.html"/>
  </r>
  <r>
    <x v="3"/>
    <x v="14"/>
    <x v="3"/>
    <s v="瑞竹堂経験方（四庫本）"/>
    <s v="瑞竹堂經驗方（四庫本）"/>
    <s v="沙圖穆蘇"/>
    <x v="4"/>
    <n v="1326"/>
    <m/>
    <s v="https://jicheng.tw/tcm/book/%E7%91%9E%E7%AB%B9%E5%A0%82%E7%B6%93%E9%A9%97%E6%96%B9%EF%BC%88%E5%9B%9B%E5%BA%AB%E6%9C%AC%EF%BC%89/index.html"/>
  </r>
  <r>
    <x v="3"/>
    <x v="14"/>
    <x v="3"/>
    <s v="御薬院方"/>
    <s v="御藥院方"/>
    <s v="許國禎"/>
    <x v="4"/>
    <n v="1267"/>
    <m/>
    <s v="https://jicheng.tw/tcm/book/%e5%be%a1%e8%97%a5%e9%99%a2%e6%96%b9/index.html"/>
  </r>
  <r>
    <x v="3"/>
    <x v="14"/>
    <x v="3"/>
    <s v="世医得効方"/>
    <s v="世醫得效方"/>
    <s v="危亦林"/>
    <x v="4"/>
    <n v="1337"/>
    <m/>
    <s v="https://jicheng.tw/tcm/book/%e4%b8%96%e9%86%ab%e5%be%97%e6%95%88%e6%96%b9/index.html"/>
  </r>
  <r>
    <x v="3"/>
    <x v="14"/>
    <x v="3"/>
    <s v="是斎百一選方"/>
    <s v="是齋百一選方"/>
    <s v="王璆"/>
    <x v="9"/>
    <n v="1196"/>
    <m/>
    <s v="https://jicheng.tw/tcm/book/%e6%98%af%e9%bd%8b%e7%99%be%e4%b8%80%e9%81%b8%e6%96%b9/index.html"/>
  </r>
  <r>
    <x v="3"/>
    <x v="14"/>
    <x v="3"/>
    <s v="伝信適用方"/>
    <s v="傳信適用方"/>
    <s v="吳彥夔"/>
    <x v="2"/>
    <m/>
    <m/>
    <s v="https://jicheng.tw/tcm/book/%e5%82%b3%e4%bf%a1%e9%81%a9%e7%94%a8%e6%96%b9/index.html"/>
  </r>
  <r>
    <x v="3"/>
    <x v="14"/>
    <x v="3"/>
    <s v="活人事証方後集"/>
    <s v="活人事證方後集"/>
    <s v="劉信甫"/>
    <x v="2"/>
    <n v="1219"/>
    <m/>
    <s v="https://jicheng.tw/tcm/book/%e6%b4%bb%e4%ba%ba%e4%ba%8b%e8%ad%89%e6%96%b9%e5%be%8c%e9%9b%86/index.html"/>
  </r>
  <r>
    <x v="3"/>
    <x v="14"/>
    <x v="3"/>
    <s v="類編朱氏集験医方"/>
    <s v="類編朱氏集驗醫方"/>
    <s v="朱佐"/>
    <x v="2"/>
    <n v="1265"/>
    <m/>
    <s v="https://jicheng.tw/tcm/book/%e9%a1%9e%e7%b7%a8%e6%9c%b1%e6%b0%8f%e9%9b%86%e9%a9%97%e9%86%ab%e6%96%b9/index.html"/>
  </r>
  <r>
    <x v="3"/>
    <x v="14"/>
    <x v="3"/>
    <s v="嶺南衛生方"/>
    <s v="嶺南衛生方"/>
    <s v="李璆、張致遠"/>
    <x v="2"/>
    <n v="1283"/>
    <m/>
    <s v="https://jicheng.tw/tcm/book/%e5%b6%ba%e5%8d%97%e8%a1%9b%e7%94%9f%e6%96%b9/index.html"/>
  </r>
  <r>
    <x v="3"/>
    <x v="14"/>
    <x v="3"/>
    <s v="絳雪丹書"/>
    <s v="絳雪丹書"/>
    <s v="趙貞觀"/>
    <x v="5"/>
    <n v="1644"/>
    <m/>
    <s v="https://jicheng.tw/tcm/book/%e7%b5%b3%e9%9b%aa%e4%b8%b9%e6%9b%b8/index.html"/>
  </r>
  <r>
    <x v="3"/>
    <x v="14"/>
    <x v="3"/>
    <s v="急救仙方"/>
    <s v="急救仙方"/>
    <m/>
    <x v="2"/>
    <m/>
    <m/>
    <s v="https://jicheng.tw/tcm/book/%e6%80%a5%e6%95%91%e4%bb%99%e6%96%b9/index.html"/>
  </r>
  <r>
    <x v="3"/>
    <x v="15"/>
    <x v="3"/>
    <s v="急救良方"/>
    <s v="急救良方"/>
    <s v="張時徹"/>
    <x v="5"/>
    <n v="1550"/>
    <m/>
    <s v="https://jicheng.tw/tcm/book/%e6%80%a5%e6%95%91%e8%89%af%e6%96%b9/index.html"/>
  </r>
  <r>
    <x v="3"/>
    <x v="15"/>
    <x v="3"/>
    <s v="衛生易簡方"/>
    <s v="衛生易簡方"/>
    <s v="胡濙"/>
    <x v="5"/>
    <n v="1410"/>
    <m/>
    <s v="https://jicheng.tw/tcm/book/%e8%a1%9b%e7%94%9f%e6%98%93%e7%b0%a1%e6%96%b9/index.html"/>
  </r>
  <r>
    <x v="3"/>
    <x v="15"/>
    <x v="3"/>
    <s v="普済方"/>
    <s v="普濟方"/>
    <s v="朱橚"/>
    <x v="5"/>
    <n v="1406"/>
    <m/>
    <s v="https://jicheng.tw/tcm/book/%e6%99%ae%e6%bf%9f%e6%96%b9/index.html"/>
  </r>
  <r>
    <x v="3"/>
    <x v="15"/>
    <x v="3"/>
    <s v="普済方·嬰孩門"/>
    <s v="普濟方·嬰孩門"/>
    <s v="朱橚"/>
    <x v="5"/>
    <n v="1406"/>
    <m/>
    <s v="https://jicheng.tw/tcm/book/%E6%99%AE%E6%BF%9F%E6%96%B9/%E5%AC%B0%E5%AD%A9%E9%96%80/index.html"/>
  </r>
  <r>
    <x v="3"/>
    <x v="15"/>
    <x v="3"/>
    <s v="奇効良方"/>
    <s v="奇效良方"/>
    <s v="董宿原撰，方賢編定"/>
    <x v="5"/>
    <n v="1436"/>
    <m/>
    <s v="https://jicheng.tw/tcm/book/%e5%a5%87%e6%95%88%e8%89%af%e6%96%b9/index.html"/>
  </r>
  <r>
    <x v="3"/>
    <x v="15"/>
    <x v="3"/>
    <s v="医方考"/>
    <s v="醫方考"/>
    <s v="吳昆"/>
    <x v="5"/>
    <n v="1584"/>
    <m/>
    <s v="https://jicheng.tw/tcm/book/%e9%86%ab%e6%96%b9%e8%80%83/index.html"/>
  </r>
  <r>
    <x v="3"/>
    <x v="15"/>
    <x v="3"/>
    <s v="仁術便覧"/>
    <s v="仁術便覽"/>
    <s v="張浩"/>
    <x v="5"/>
    <n v="1585"/>
    <m/>
    <s v="https://jicheng.tw/tcm/book/%e4%bb%81%e8%a1%93%e4%be%bf%e8%a6%bd/index.html"/>
  </r>
  <r>
    <x v="3"/>
    <x v="15"/>
    <x v="3"/>
    <s v="魯府禁方"/>
    <s v="魯府禁方"/>
    <s v="龔廷賢"/>
    <x v="5"/>
    <n v="1594"/>
    <m/>
    <s v="https://jicheng.tw/tcm/book/%e9%ad%af%e5%ba%9c%e7%a6%81%e6%96%b9/index.html"/>
  </r>
  <r>
    <x v="3"/>
    <x v="15"/>
    <x v="3"/>
    <s v="祖剤"/>
    <s v="祖劑"/>
    <s v="施沛"/>
    <x v="5"/>
    <n v="1640"/>
    <m/>
    <s v="https://jicheng.tw/tcm/book/%e7%a5%96%e5%8a%91/index.html"/>
  </r>
  <r>
    <x v="3"/>
    <x v="15"/>
    <x v="3"/>
    <s v="医便"/>
    <s v="醫便"/>
    <s v="張受孔"/>
    <x v="5"/>
    <n v="1569"/>
    <m/>
    <s v="https://jicheng.tw/tcm/book/%e9%86%ab%e4%be%bf/index.html"/>
  </r>
  <r>
    <x v="3"/>
    <x v="15"/>
    <x v="3"/>
    <s v="証治準縄·類方"/>
    <s v="證治準繩·類方"/>
    <s v="王肯堂"/>
    <x v="5"/>
    <n v="1602"/>
    <m/>
    <s v="https://jicheng.tw/tcm/book/%E8%AD%89%E6%B2%BB%E6%BA%96%E7%B9%A9/%E9%A1%9E%E6%96%B9/index.html"/>
  </r>
  <r>
    <x v="3"/>
    <x v="15"/>
    <x v="3"/>
    <s v="扶寿精方"/>
    <s v="扶壽精方"/>
    <s v="吳旻"/>
    <x v="5"/>
    <n v="1534"/>
    <m/>
    <s v="https://jicheng.tw/tcm/book/%e6%89%b6%e5%a3%bd%e7%b2%be%e6%96%b9/index.html"/>
  </r>
  <r>
    <x v="3"/>
    <x v="15"/>
    <x v="3"/>
    <s v="医方選要"/>
    <s v="醫方選要"/>
    <s v="周文採"/>
    <x v="5"/>
    <n v="1495"/>
    <m/>
    <s v="https://jicheng.tw/tcm/book/%e9%86%ab%e6%96%b9%e9%81%b8%e8%a6%81/index.html"/>
  </r>
  <r>
    <x v="3"/>
    <x v="15"/>
    <x v="3"/>
    <s v="傅氏雑方"/>
    <s v="傅氏雜方"/>
    <s v="傅山"/>
    <x v="5"/>
    <m/>
    <m/>
    <s v="https://jicheng.tw/tcm/book/%e5%82%85%e6%b0%8f%e9%9b%9c%e6%96%b9/index.html"/>
  </r>
  <r>
    <x v="3"/>
    <x v="15"/>
    <x v="3"/>
    <s v="金鏡内台方議"/>
    <s v="金鏡內臺方議"/>
    <s v="許宏"/>
    <x v="5"/>
    <m/>
    <m/>
    <s v="https://jicheng.tw/tcm/book/%e9%87%91%e9%8f%a1%e5%85%a7%e8%87%ba%e6%96%b9%e8%ad%b0/index.html"/>
  </r>
  <r>
    <x v="3"/>
    <x v="15"/>
    <x v="3"/>
    <s v="万氏家抄済世良方"/>
    <s v="萬氏家抄濟世良方"/>
    <s v="萬表"/>
    <x v="5"/>
    <m/>
    <m/>
    <s v="https://jicheng.tw/tcm/book/%e8%90%ac%e6%b0%8f%e5%ae%b6%e6%8a%84%e6%bf%9f%e4%b8%96%e8%89%af%e6%96%b9/index.html"/>
  </r>
  <r>
    <x v="3"/>
    <x v="15"/>
    <x v="3"/>
    <s v="医方捷径指南全書"/>
    <s v="醫方捷徑指南全書"/>
    <s v="王宗顯"/>
    <x v="5"/>
    <n v="1619"/>
    <m/>
    <s v="https://jicheng.tw/tcm/book/%e9%86%ab%e6%96%b9%e6%8d%b7%e5%be%91%e6%8c%87%e5%8d%97%e5%85%a8%e6%9b%b8/index.html"/>
  </r>
  <r>
    <x v="3"/>
    <x v="16"/>
    <x v="3"/>
    <s v="種福堂公選良方"/>
    <s v="種福堂公選良方"/>
    <s v="葉桂原著，華岫雲編"/>
    <x v="3"/>
    <n v="1752"/>
    <m/>
    <s v="https://jicheng.tw/tcm/book/%e7%a8%ae%e7%a6%8f%e5%a0%82%e5%85%ac%e9%81%b8%e8%89%af%e6%96%b9/index.html"/>
  </r>
  <r>
    <x v="3"/>
    <x v="16"/>
    <x v="3"/>
    <s v="成方切用"/>
    <s v="成方切用"/>
    <s v="吳儀洛"/>
    <x v="3"/>
    <n v="1761"/>
    <m/>
    <s v="https://jicheng.tw/tcm/book/%e6%88%90%e6%96%b9%e5%88%87%e7%94%a8/index.html"/>
  </r>
  <r>
    <x v="3"/>
    <x v="16"/>
    <x v="3"/>
    <s v="時方妙用"/>
    <s v="時方妙用"/>
    <s v="陳念祖"/>
    <x v="3"/>
    <n v="1803"/>
    <m/>
    <s v="https://jicheng.tw/tcm/book/%e6%99%82%e6%96%b9%e5%a6%99%e7%94%a8/index.html"/>
  </r>
  <r>
    <x v="3"/>
    <x v="16"/>
    <x v="3"/>
    <s v="十剤表"/>
    <s v="十劑表"/>
    <s v="包誠"/>
    <x v="3"/>
    <n v="1866"/>
    <m/>
    <s v="https://jicheng.tw/tcm/book/%e5%8d%81%e5%8a%91%e8%a1%a8/index.html"/>
  </r>
  <r>
    <x v="3"/>
    <x v="16"/>
    <x v="3"/>
    <s v="太医院秘蔵膏丹丸散方剤"/>
    <s v="太醫院秘藏膏丹丸散方劑"/>
    <s v="太醫院"/>
    <x v="3"/>
    <m/>
    <m/>
    <s v="https://jicheng.tw/tcm/book/%e5%a4%aa%e9%86%ab%e9%99%a2%e7%a7%98%e8%97%8f%e8%86%8f%e4%b8%b9%e4%b8%b8%e6%95%a3%e6%96%b9%e5%8a%91/index.html"/>
  </r>
  <r>
    <x v="3"/>
    <x v="16"/>
    <x v="3"/>
    <s v="古方彙精"/>
    <s v="古方彙精"/>
    <s v="愛虛老人"/>
    <x v="3"/>
    <n v="1804"/>
    <m/>
    <s v="https://jicheng.tw/tcm/book/%e5%8f%a4%e6%96%b9%e5%bd%99%e7%b2%be/index.html"/>
  </r>
  <r>
    <x v="3"/>
    <x v="16"/>
    <x v="3"/>
    <s v="喩選古方試験"/>
    <s v="喻選古方試驗"/>
    <s v="喻嘉言"/>
    <x v="3"/>
    <n v="1838"/>
    <m/>
    <s v="https://jicheng.tw/tcm/book/%e5%96%bb%e9%81%b8%e5%8f%a4%e6%96%b9%e8%a9%a6%e9%a9%97/index.html"/>
  </r>
  <r>
    <x v="3"/>
    <x v="16"/>
    <x v="3"/>
    <s v="医論拾遺"/>
    <s v="醫論拾遺"/>
    <s v="王旭高"/>
    <x v="3"/>
    <m/>
    <m/>
    <s v="https://jicheng.tw/tcm/book/%e9%86%ab%e8%ab%96%e6%8b%be%e9%81%ba/index.html"/>
  </r>
  <r>
    <x v="3"/>
    <x v="16"/>
    <x v="3"/>
    <s v="不知医必要"/>
    <s v="不知醫必要"/>
    <s v="梁廉夫"/>
    <x v="3"/>
    <n v="1881"/>
    <m/>
    <s v="https://jicheng.tw/tcm/book/%e4%b8%8d%e7%9f%a5%e9%86%ab%e5%bf%85%e8%a6%81/index.html"/>
  </r>
  <r>
    <x v="3"/>
    <x v="16"/>
    <x v="3"/>
    <s v="医通祖方"/>
    <s v="醫通祖方"/>
    <s v="張璐"/>
    <x v="3"/>
    <m/>
    <m/>
    <s v="https://jicheng.tw/tcm/book/%e9%86%ab%e9%80%9a%e7%a5%96%e6%96%b9/index.html"/>
  </r>
  <r>
    <x v="3"/>
    <x v="16"/>
    <x v="3"/>
    <s v="丁甘仁先生家伝珍方"/>
    <s v="丁甘仁先生家傳珍方"/>
    <s v="丁甘仁"/>
    <x v="11"/>
    <m/>
    <m/>
    <s v="https://jicheng.tw/tcm/book/%e4%b8%81%e7%94%98%e4%bb%81%e5%85%88%e7%94%9f%e5%ae%b6%e5%82%b3%e7%8f%8d%e6%96%b9/index.html"/>
  </r>
  <r>
    <x v="3"/>
    <x v="16"/>
    <x v="3"/>
    <s v="医方絜度"/>
    <s v="醫方絜度"/>
    <s v="錢敏捷"/>
    <x v="3"/>
    <m/>
    <m/>
    <s v="https://jicheng.tw/tcm/book/%e9%86%ab%e6%96%b9%e7%b5%9c%e5%ba%a6/index.html"/>
  </r>
  <r>
    <x v="3"/>
    <x v="16"/>
    <x v="3"/>
    <s v="儒医心鏡"/>
    <s v="儒醫心鏡"/>
    <m/>
    <x v="1"/>
    <m/>
    <m/>
    <s v="https://jicheng.tw/tcm/book/%e5%84%92%e9%86%ab%e5%bf%83%e9%8f%a1/index.html"/>
  </r>
  <r>
    <x v="3"/>
    <x v="16"/>
    <x v="3"/>
    <s v="不謝方一巻"/>
    <s v="不謝方一卷"/>
    <s v="陸懋修"/>
    <x v="3"/>
    <m/>
    <m/>
    <s v="https://jicheng.tw/tcm/book/%e4%b8%8d%e8%ac%9d%e6%96%b9%e4%b8%80%e5%8d%b7/index.html"/>
  </r>
  <r>
    <x v="3"/>
    <x v="16"/>
    <x v="3"/>
    <s v="歴験再寿編"/>
    <s v="歷驗再壽編"/>
    <m/>
    <x v="3"/>
    <m/>
    <m/>
    <s v="https://jicheng.tw/tcm/book/%e6%ad%b7%e9%a9%97%e5%86%8d%e5%a3%bd%e7%b7%a8/index.html"/>
  </r>
  <r>
    <x v="3"/>
    <x v="16"/>
    <x v="3"/>
    <s v="和緩遺風"/>
    <s v="和緩遺風"/>
    <s v="馬培之"/>
    <x v="3"/>
    <m/>
    <m/>
    <s v="https://jicheng.tw/tcm/book/%e5%92%8c%e7%b7%a9%e9%81%ba%e9%a2%a8/index.html"/>
  </r>
  <r>
    <x v="3"/>
    <x v="16"/>
    <x v="3"/>
    <s v="霊薬秘方"/>
    <s v="靈藥秘方"/>
    <s v="師成子"/>
    <x v="3"/>
    <n v="1718"/>
    <m/>
    <s v="https://jicheng.tw/tcm/book/%e9%9d%88%e8%97%a5%e7%a7%98%e6%96%b9/index.html"/>
  </r>
  <r>
    <x v="3"/>
    <x v="16"/>
    <x v="3"/>
    <s v="行軍方便便方"/>
    <s v="行軍方便便方"/>
    <s v="羅世瑤"/>
    <x v="3"/>
    <m/>
    <m/>
    <s v="https://jicheng.tw/tcm/book/%e8%a1%8c%e8%bb%8d%e6%96%b9%e4%be%bf%e4%be%bf%e6%96%b9/index.html"/>
  </r>
  <r>
    <x v="3"/>
    <x v="16"/>
    <x v="3"/>
    <s v="重訂痧疫指迷"/>
    <s v="重訂痧疫指迷"/>
    <s v="費養莊"/>
    <x v="3"/>
    <m/>
    <m/>
    <s v="https://jicheng.tw/tcm/book/%e9%87%8d%e8%a8%82%e7%97%a7%e7%96%ab%e6%8c%87%e8%bf%b7/index.html"/>
  </r>
  <r>
    <x v="3"/>
    <x v="16"/>
    <x v="3"/>
    <s v="金氏門診方案"/>
    <s v="金氏門診方案"/>
    <s v="金子久"/>
    <x v="3"/>
    <m/>
    <m/>
    <s v="https://jicheng.tw/tcm/book/%e9%87%91%e6%b0%8f%e9%96%80%e8%a8%ba%e6%96%b9%e6%a1%88/index.html"/>
  </r>
  <r>
    <x v="3"/>
    <x v="16"/>
    <x v="3"/>
    <s v="救生集"/>
    <s v="救生集"/>
    <s v="虛白主人"/>
    <x v="3"/>
    <n v="1833"/>
    <m/>
    <s v="https://jicheng.tw/tcm/book/%e6%95%91%e7%94%9f%e9%9b%86/index.html"/>
  </r>
  <r>
    <x v="3"/>
    <x v="16"/>
    <x v="3"/>
    <s v="秘方集験"/>
    <s v="秘方集驗"/>
    <s v="王夢蘭"/>
    <x v="3"/>
    <n v="1657"/>
    <m/>
    <s v="https://jicheng.tw/tcm/book/%e7%a7%98%e6%96%b9%e9%9b%86%e9%a9%97/index.html"/>
  </r>
  <r>
    <x v="3"/>
    <x v="16"/>
    <x v="3"/>
    <s v="医方簡義"/>
    <s v="醫方簡義"/>
    <s v="王清源"/>
    <x v="3"/>
    <n v="1883"/>
    <m/>
    <s v="https://jicheng.tw/tcm/book/%e9%86%ab%e6%96%b9%e7%b0%a1%e7%be%a9/index.html"/>
  </r>
  <r>
    <x v="3"/>
    <x v="16"/>
    <x v="3"/>
    <s v="医宗金鑑·刪補名医方論"/>
    <s v="醫宗金鑑·刪補名醫方論"/>
    <s v="吳謙等"/>
    <x v="3"/>
    <n v="1742"/>
    <m/>
    <s v="https://jicheng.tw/tcm/book/%E9%86%AB%E5%AE%97%E9%87%91%E9%91%91/%E5%88%AA%E8%A3%9C%E5%90%8D%E9%86%AB%E6%96%B9%E8%AB%96/index.html"/>
  </r>
  <r>
    <x v="3"/>
    <x v="16"/>
    <x v="3"/>
    <s v="古今名医方論"/>
    <s v="古今名醫方論"/>
    <s v="羅美"/>
    <x v="3"/>
    <n v="1675"/>
    <m/>
    <s v="https://jicheng.tw/tcm/book/%e5%8f%a4%e4%bb%8a%e5%90%8d%e9%86%ab%e6%96%b9%e8%ab%96/index.html"/>
  </r>
  <r>
    <x v="3"/>
    <x v="16"/>
    <x v="3"/>
    <s v="医方集解"/>
    <s v="醫方集解"/>
    <s v="汪昂"/>
    <x v="3"/>
    <n v="1682"/>
    <m/>
    <s v="https://jicheng.tw/tcm/book/%e9%86%ab%e6%96%b9%e9%9b%86%e8%a7%a3/index.html"/>
  </r>
  <r>
    <x v="3"/>
    <x v="16"/>
    <x v="3"/>
    <s v="医方集解_条列版"/>
    <s v="醫方集解_條列版"/>
    <s v="汪昂"/>
    <x v="3"/>
    <n v="1682"/>
    <m/>
    <s v="https://jicheng.tw/tcm/book/%e9%86%ab%e6%96%b9%e9%9b%86%e8%a7%a3%5f%e6%a2%9d%e5%88%97%e7%89%88/index.html"/>
  </r>
  <r>
    <x v="3"/>
    <x v="16"/>
    <x v="3"/>
    <s v="絳雪園古方選註"/>
    <s v="絳雪園古方選註"/>
    <s v="王子接"/>
    <x v="3"/>
    <n v="1732"/>
    <m/>
    <s v="https://jicheng.tw/tcm/book/%e7%b5%b3%e9%9b%aa%e5%9c%92%e5%8f%a4%e6%96%b9%e9%81%b8%e8%a8%bb/index.html"/>
  </r>
  <r>
    <x v="3"/>
    <x v="16"/>
    <x v="3"/>
    <s v="医方論"/>
    <s v="醫方論"/>
    <s v="費伯雄"/>
    <x v="3"/>
    <n v="1865"/>
    <m/>
    <s v="https://jicheng.tw/tcm/book/%e9%86%ab%e6%96%b9%e8%ab%96/index.html"/>
  </r>
  <r>
    <x v="3"/>
    <x v="16"/>
    <x v="3"/>
    <s v="大小諸証方論"/>
    <s v="大小諸證方論"/>
    <s v="傅青主"/>
    <x v="3"/>
    <n v="1673"/>
    <m/>
    <s v="https://jicheng.tw/tcm/book/%e5%a4%a7%e5%b0%8f%e8%ab%b8%e8%ad%89%e6%96%b9%e8%ab%96/index.html"/>
  </r>
  <r>
    <x v="3"/>
    <x v="16"/>
    <x v="3"/>
    <s v="経方例釈"/>
    <s v="經方例釋"/>
    <s v="莫枚士"/>
    <x v="3"/>
    <n v="1884"/>
    <m/>
    <s v="https://jicheng.tw/tcm/book/%e7%b6%93%e6%96%b9%e4%be%8b%e9%87%8b/index.html"/>
  </r>
  <r>
    <x v="3"/>
    <x v="16"/>
    <x v="3"/>
    <s v="類証普済本事方釈義"/>
    <s v="類證普濟本事方釋義"/>
    <s v="宋·許叔微著，清·葉桂注釋"/>
    <x v="3"/>
    <m/>
    <m/>
    <s v="https://jicheng.tw/tcm/book/%e9%a1%9e%e8%ad%89%e6%99%ae%e6%bf%9f%e6%9c%ac%e4%ba%8b%e6%96%b9%e9%87%8b%e7%be%a9/index.html"/>
  </r>
  <r>
    <x v="3"/>
    <x v="16"/>
    <x v="3"/>
    <s v="湯頭歌訣"/>
    <s v="湯頭歌訣"/>
    <s v="汪昂"/>
    <x v="3"/>
    <n v="1692"/>
    <m/>
    <s v="https://jicheng.tw/tcm/book/%e6%b9%af%e9%a0%ad%e6%ad%8c%e8%a8%a3/index.html"/>
  </r>
  <r>
    <x v="3"/>
    <x v="16"/>
    <x v="3"/>
    <s v="時方歌括"/>
    <s v="時方歌括"/>
    <s v="陳念祖"/>
    <x v="3"/>
    <n v="1801"/>
    <m/>
    <s v="https://jicheng.tw/tcm/book/%e6%99%82%e6%96%b9%e6%ad%8c%e6%8b%ac/index.html"/>
  </r>
  <r>
    <x v="3"/>
    <x v="16"/>
    <x v="3"/>
    <s v="長沙方歌括"/>
    <s v="長沙方歌括"/>
    <s v="陳念祖"/>
    <x v="3"/>
    <s v="1644-1911"/>
    <m/>
    <s v="https://jicheng.tw/tcm/book/%e9%95%b7%e6%b2%99%e6%96%b9%e6%ad%8c%e6%8b%ac/index.html"/>
  </r>
  <r>
    <x v="3"/>
    <x v="16"/>
    <x v="3"/>
    <s v="金匱方歌括"/>
    <s v="金匱方歌括"/>
    <s v="陳念祖"/>
    <x v="3"/>
    <n v="1811"/>
    <m/>
    <s v="https://jicheng.tw/tcm/book/%e9%87%91%e5%8c%b1%e6%96%b9%e6%ad%8c%e6%8b%ac/index.html"/>
  </r>
  <r>
    <x v="3"/>
    <x v="16"/>
    <x v="3"/>
    <s v="医方証治彙編歌訣"/>
    <s v="醫方證治彙編歌訣"/>
    <s v="王泰林"/>
    <x v="3"/>
    <n v="1897"/>
    <m/>
    <s v="https://jicheng.tw/tcm/book/%e9%86%ab%e6%96%b9%e8%ad%89%e6%b2%bb%e5%bd%99%e7%b7%a8%e6%ad%8c%e8%a8%a3/index.html"/>
  </r>
  <r>
    <x v="3"/>
    <x v="16"/>
    <x v="3"/>
    <s v="医方歌括"/>
    <s v="醫方歌括"/>
    <s v="王泰林"/>
    <x v="3"/>
    <n v="1897"/>
    <m/>
    <s v="https://jicheng.tw/tcm/book/%e9%86%ab%e6%96%b9%e6%ad%8c%e6%8b%ac/index.html"/>
  </r>
  <r>
    <x v="3"/>
    <x v="16"/>
    <x v="3"/>
    <s v="增訂医方歌訣"/>
    <s v="增訂醫方歌訣"/>
    <s v="王泰林"/>
    <x v="3"/>
    <n v="1897"/>
    <m/>
    <s v="https://jicheng.tw/tcm/book/%e5%a2%9e%e8%a8%82%e9%86%ab%e6%96%b9%e6%ad%8c%e8%a8%a3/index.html"/>
  </r>
  <r>
    <x v="3"/>
    <x v="16"/>
    <x v="3"/>
    <s v="退思集類方歌註"/>
    <s v="退思集類方歌註"/>
    <s v="王泰林"/>
    <x v="3"/>
    <n v="1897"/>
    <m/>
    <s v="https://jicheng.tw/tcm/book/%e9%80%80%e6%80%9d%e9%9b%86%e9%a1%9e%e6%96%b9%e6%ad%8c%e8%a8%bb/index.html"/>
  </r>
  <r>
    <x v="3"/>
    <x v="16"/>
    <x v="3"/>
    <s v="診験医方歌括"/>
    <s v="診驗醫方歌括"/>
    <s v="坐嘯山人"/>
    <x v="3"/>
    <m/>
    <m/>
    <s v="https://jicheng.tw/tcm/book/%e8%a8%ba%e9%a9%97%e9%86%ab%e6%96%b9%e6%ad%8c%e6%8b%ac/index.html"/>
  </r>
  <r>
    <x v="3"/>
    <x v="16"/>
    <x v="3"/>
    <s v="成方便読"/>
    <s v="成方便讀"/>
    <s v="張秉成"/>
    <x v="3"/>
    <n v="1904"/>
    <m/>
    <s v="https://jicheng.tw/tcm/book/%e6%88%90%e6%96%b9%e4%be%bf%e8%ae%80/index.html"/>
  </r>
  <r>
    <x v="3"/>
    <x v="17"/>
    <x v="3"/>
    <s v="薬治通義"/>
    <s v="藥治通義"/>
    <s v="丹波元堅"/>
    <x v="3"/>
    <m/>
    <m/>
    <s v="https://jicheng.tw/tcm/book/%e8%97%a5%e6%b2%bb%e9%80%9a%e7%be%a9/index.html"/>
  </r>
  <r>
    <x v="3"/>
    <x v="17"/>
    <x v="3"/>
    <s v="方剤辞典"/>
    <s v="方劑辭典"/>
    <s v="水走嘉言"/>
    <x v="3"/>
    <n v="1811"/>
    <m/>
    <s v="https://jicheng.tw/tcm/book/%e6%96%b9%e5%8a%91%e8%be%ad%e5%85%b8/index.html"/>
  </r>
  <r>
    <x v="3"/>
    <x v="17"/>
    <x v="3"/>
    <s v="奇正方"/>
    <s v="奇正方"/>
    <s v="賀谷壽"/>
    <x v="1"/>
    <m/>
    <m/>
    <s v="https://jicheng.tw/tcm/book/%e5%a5%87%e6%ad%a3%e6%96%b9/index.html"/>
  </r>
  <r>
    <x v="3"/>
    <x v="17"/>
    <x v="3"/>
    <s v="類聚方"/>
    <s v="類聚方"/>
    <s v="吉益為則"/>
    <x v="3"/>
    <m/>
    <m/>
    <s v="https://jicheng.tw/tcm/book/%e9%a1%9e%e8%81%9a%e6%96%b9/index.html"/>
  </r>
  <r>
    <x v="3"/>
    <x v="17"/>
    <x v="3"/>
    <s v="方機"/>
    <s v="方機"/>
    <s v="吉益東洞"/>
    <x v="3"/>
    <m/>
    <m/>
    <s v="https://jicheng.tw/tcm/book/%e6%96%b9%e6%a9%9f/index.html"/>
  </r>
  <r>
    <x v="3"/>
    <x v="17"/>
    <x v="3"/>
    <s v="救急選方"/>
    <s v="救急選方"/>
    <s v="丹波元簡"/>
    <x v="3"/>
    <n v="1810"/>
    <m/>
    <s v="https://jicheng.tw/tcm/book/%e6%95%91%e6%80%a5%e9%81%b8%e6%96%b9/index.html"/>
  </r>
  <r>
    <x v="3"/>
    <x v="17"/>
    <x v="3"/>
    <s v="名家方選"/>
    <s v="名家方選"/>
    <s v="山田元倫"/>
    <x v="3"/>
    <n v="1781"/>
    <m/>
    <s v="https://jicheng.tw/tcm/book/%e5%90%8d%e5%ae%b6%e6%96%b9%e9%81%b8/index.html"/>
  </r>
  <r>
    <x v="3"/>
    <x v="17"/>
    <x v="3"/>
    <s v="家塾方与方極"/>
    <s v="家塾方與方極"/>
    <s v="吉益為則"/>
    <x v="3"/>
    <m/>
    <m/>
    <s v="https://jicheng.tw/tcm/book/%e5%ae%b6%e5%a1%be%e6%96%b9%e8%88%87%e6%96%b9%e6%a5%b5/index.html"/>
  </r>
  <r>
    <x v="3"/>
    <x v="17"/>
    <x v="3"/>
    <s v="医略抄"/>
    <s v="醫略抄"/>
    <s v="丹波元簡"/>
    <x v="3"/>
    <m/>
    <m/>
    <s v="https://jicheng.tw/tcm/book/%e9%86%ab%e7%95%a5%e6%8a%84/index.html"/>
  </r>
  <r>
    <x v="3"/>
    <x v="17"/>
    <x v="3"/>
    <s v="古方分量考"/>
    <s v="古方分量考"/>
    <s v="平井氏"/>
    <x v="3"/>
    <m/>
    <m/>
    <s v="https://jicheng.tw/tcm/book/%e5%8f%a4%e6%96%b9%e5%88%86%e9%87%8f%e8%80%83/index.html"/>
  </r>
  <r>
    <x v="3"/>
    <x v="18"/>
    <x v="3"/>
    <s v="急救便方"/>
    <s v="急救便方"/>
    <m/>
    <x v="1"/>
    <m/>
    <m/>
    <s v="https://jicheng.tw/tcm/book/%e6%80%a5%e6%95%91%e4%be%bf%e6%96%b9/index.html"/>
  </r>
  <r>
    <x v="3"/>
    <x v="18"/>
    <x v="3"/>
    <s v="奇方類編"/>
    <s v="奇方類編"/>
    <s v="吳世昌"/>
    <x v="3"/>
    <n v="1719"/>
    <m/>
    <s v="https://jicheng.tw/tcm/book/%e5%a5%87%e6%96%b9%e9%a1%9e%e7%b7%a8/index.html"/>
  </r>
  <r>
    <x v="3"/>
    <x v="18"/>
    <x v="3"/>
    <s v="串雅内外編"/>
    <s v="串雅內外編"/>
    <s v="趙學敏"/>
    <x v="3"/>
    <n v="1759"/>
    <m/>
    <s v="https://jicheng.tw/tcm/book/%e4%b8%b2%e9%9b%85%e5%85%a7%e5%a4%96%e7%b7%a8/index.html"/>
  </r>
  <r>
    <x v="3"/>
    <x v="18"/>
    <x v="3"/>
    <s v="串雅補"/>
    <s v="串雅補"/>
    <s v="魯照/南厓"/>
    <x v="3"/>
    <m/>
    <m/>
    <s v="https://jicheng.tw/tcm/book/%e4%b8%b2%e9%9b%85%e8%a3%9c/index.html"/>
  </r>
  <r>
    <x v="3"/>
    <x v="18"/>
    <x v="3"/>
    <s v="串雅外編"/>
    <s v="串雅外編"/>
    <s v="趙學敏"/>
    <x v="3"/>
    <m/>
    <m/>
    <s v="https://jicheng.tw/tcm/book/%e4%b8%b2%e9%9b%85%e5%a4%96%e7%b7%a8/index.html"/>
  </r>
  <r>
    <x v="3"/>
    <x v="18"/>
    <x v="3"/>
    <s v="験方新編"/>
    <s v="驗方新編"/>
    <s v="鮑相璈"/>
    <x v="3"/>
    <n v="1846"/>
    <m/>
    <s v="https://jicheng.tw/tcm/book/%e9%a9%97%e6%96%b9%e6%96%b0%e7%b7%a8/index.html"/>
  </r>
  <r>
    <x v="3"/>
    <x v="18"/>
    <x v="3"/>
    <s v="済世神験良方"/>
    <s v="濟世神驗良方"/>
    <m/>
    <x v="3"/>
    <s v="1644-1911"/>
    <m/>
    <s v="https://jicheng.tw/tcm/book/%e6%bf%9f%e4%b8%96%e7%a5%9e%e9%a9%97%e8%89%af%e6%96%b9/index.html"/>
  </r>
  <r>
    <x v="3"/>
    <x v="18"/>
    <x v="3"/>
    <s v="神仙済世良方"/>
    <s v="神仙濟世良方"/>
    <s v="柏鶴亭"/>
    <x v="3"/>
    <n v="1797"/>
    <m/>
    <s v="https://jicheng.tw/tcm/book/%e7%a5%9e%e4%bb%99%e6%bf%9f%e4%b8%96%e8%89%af%e6%96%b9/index.html"/>
  </r>
  <r>
    <x v="3"/>
    <x v="18"/>
    <x v="3"/>
    <s v="旅舎備要方"/>
    <s v="旅舍備要方"/>
    <s v="董汲"/>
    <x v="2"/>
    <n v="1086"/>
    <m/>
    <s v="https://jicheng.tw/tcm/book/%e6%97%85%e8%88%8d%e5%82%99%e8%a6%81%e6%96%b9/index.html"/>
  </r>
  <r>
    <x v="3"/>
    <x v="18"/>
    <x v="3"/>
    <s v="経験丹方彙編"/>
    <s v="經驗丹方彙編"/>
    <s v="錢峻"/>
    <x v="3"/>
    <n v="1708"/>
    <m/>
    <s v="https://jicheng.tw/tcm/book/%e7%b6%93%e9%a9%97%e4%b8%b9%e6%96%b9%e5%bd%99%e7%b7%a8/index.html"/>
  </r>
  <r>
    <x v="3"/>
    <x v="18"/>
    <x v="3"/>
    <s v="集験方"/>
    <s v="集驗方"/>
    <s v="洪遵"/>
    <x v="2"/>
    <n v="1170"/>
    <m/>
    <s v="https://jicheng.tw/tcm/book/%e9%9b%86%e9%a9%97%e6%96%b9/index.html"/>
  </r>
  <r>
    <x v="3"/>
    <x v="18"/>
    <x v="3"/>
    <s v="奇効簡便良方"/>
    <s v="奇效簡便良方"/>
    <s v="丁堯臣"/>
    <x v="3"/>
    <n v="1880"/>
    <m/>
    <s v="https://jicheng.tw/tcm/book/%e5%a5%87%e6%95%88%e7%b0%a1%e4%be%bf%e8%89%af%e6%96%b9/index.html"/>
  </r>
  <r>
    <x v="3"/>
    <x v="18"/>
    <x v="3"/>
    <s v="恵直堂経験方"/>
    <s v="惠直堂經驗方"/>
    <s v="陶承熹、王承勳輯"/>
    <x v="3"/>
    <n v="1759"/>
    <m/>
    <s v="https://jicheng.tw/tcm/book/%e6%83%a0%e7%9b%b4%e5%a0%82%e7%b6%93%e9%a9%97%e6%96%b9/index.html"/>
  </r>
  <r>
    <x v="3"/>
    <x v="18"/>
    <x v="3"/>
    <s v="絳囊撮要"/>
    <s v="絳囊撮要"/>
    <s v="雲川道人"/>
    <x v="3"/>
    <n v="1744"/>
    <m/>
    <s v="https://jicheng.tw/tcm/book/%e7%b5%b3%e5%9b%8a%e6%92%ae%e8%a6%81/index.html"/>
  </r>
  <r>
    <x v="3"/>
    <x v="18"/>
    <x v="3"/>
    <s v="経験奇方"/>
    <s v="經驗奇方"/>
    <s v="周子薌"/>
    <x v="3"/>
    <n v="1989"/>
    <m/>
    <s v="https://jicheng.tw/tcm/book/%e7%b6%93%e9%a9%97%e5%a5%87%e6%96%b9/index.html"/>
  </r>
  <r>
    <x v="3"/>
    <x v="18"/>
    <x v="3"/>
    <s v="外治寿世方"/>
    <s v="外治壽世方"/>
    <s v="鄒存淦"/>
    <x v="3"/>
    <n v="1877"/>
    <m/>
    <s v="https://jicheng.tw/tcm/book/%e5%a4%96%e6%b2%bb%e5%a3%bd%e4%b8%96%e6%96%b9/index.html"/>
  </r>
  <r>
    <x v="3"/>
    <x v="18"/>
    <x v="3"/>
    <s v="文堂集験方"/>
    <s v="文堂集驗方"/>
    <s v="何英"/>
    <x v="3"/>
    <n v="1775"/>
    <m/>
    <s v="https://jicheng.tw/tcm/book/%e6%96%87%e5%a0%82%e9%9b%86%e9%a9%97%e6%96%b9/index.html"/>
  </r>
  <r>
    <x v="3"/>
    <x v="18"/>
    <x v="3"/>
    <s v="回生集"/>
    <s v="回生集"/>
    <s v="陳杰"/>
    <x v="3"/>
    <n v="1789"/>
    <m/>
    <s v="https://jicheng.tw/tcm/book/%e5%9b%9e%e7%94%9f%e9%9b%86/index.html"/>
  </r>
  <r>
    <x v="3"/>
    <x v="18"/>
    <x v="3"/>
    <s v="本草簡要方"/>
    <s v="本草簡要方"/>
    <s v="張宗祥"/>
    <x v="11"/>
    <n v="1938"/>
    <m/>
    <s v="https://jicheng.tw/tcm/book/%e6%9c%ac%e8%8d%89%e7%b0%a1%e8%a6%81%e6%96%b9/index.html"/>
  </r>
  <r>
    <x v="3"/>
    <x v="18"/>
    <x v="3"/>
    <s v="疑難急症簡方"/>
    <s v="疑難急症簡方"/>
    <s v="羅越峰"/>
    <x v="3"/>
    <n v="1895"/>
    <m/>
    <s v="https://jicheng.tw/tcm/book/%e7%96%91%e9%9b%a3%e6%80%a5%e7%97%87%e7%b0%a1%e6%96%b9/index.html"/>
  </r>
  <r>
    <x v="3"/>
    <x v="18"/>
    <x v="3"/>
    <s v="外科経験方"/>
    <s v="外科經驗方"/>
    <s v="薛己"/>
    <x v="5"/>
    <n v="1528"/>
    <m/>
    <s v="https://jicheng.tw/tcm/book/%e5%a4%96%e7%a7%91%e7%b6%93%e9%a9%97%e6%96%b9/index.html"/>
  </r>
  <r>
    <x v="3"/>
    <x v="18"/>
    <x v="3"/>
    <s v="雞鳴録"/>
    <s v="雞鳴錄"/>
    <s v="王士雄"/>
    <x v="3"/>
    <n v="1852"/>
    <m/>
    <s v="https://jicheng.tw/tcm/book/%e9%9b%9e%e9%b3%b4%e9%8c%84/index.html"/>
  </r>
  <r>
    <x v="3"/>
    <x v="18"/>
    <x v="3"/>
    <s v="春脚集"/>
    <s v="春腳集"/>
    <s v="孟文瑞"/>
    <x v="3"/>
    <n v="1846"/>
    <m/>
    <s v="https://jicheng.tw/tcm/book/%e6%98%a5%e8%85%b3%e9%9b%86/index.html"/>
  </r>
  <r>
    <x v="3"/>
    <x v="18"/>
    <x v="3"/>
    <s v="済世珍宝"/>
    <s v="濟世珍寶"/>
    <s v="王永彙集"/>
    <x v="5"/>
    <m/>
    <m/>
    <s v="https://jicheng.tw/tcm/book/%e6%bf%9f%e4%b8%96%e7%8f%8d%e5%af%b6/index.html"/>
  </r>
  <r>
    <x v="3"/>
    <x v="18"/>
    <x v="3"/>
    <s v="呉氏医方彙編"/>
    <s v="吳氏醫方彙編"/>
    <s v="吳杖仙"/>
    <x v="3"/>
    <n v="1744"/>
    <m/>
    <s v="https://jicheng.tw/tcm/book/%e5%90%b3%e6%b0%8f%e9%86%ab%e6%96%b9%e5%bd%99%e7%b7%a8/index.html"/>
  </r>
  <r>
    <x v="3"/>
    <x v="18"/>
    <x v="3"/>
    <s v="臨証一得方"/>
    <s v="臨證一得方"/>
    <s v="朱費元"/>
    <x v="3"/>
    <m/>
    <m/>
    <s v="https://jicheng.tw/tcm/book/%e8%87%a8%e8%ad%89%e4%b8%80%e5%be%97%e6%96%b9/index.html"/>
  </r>
  <r>
    <x v="3"/>
    <x v="18"/>
    <x v="3"/>
    <s v="温隠居海上仙方"/>
    <s v="溫隱居海上仙方"/>
    <s v="溫大明"/>
    <x v="2"/>
    <n v="1216"/>
    <m/>
    <s v="https://jicheng.tw/tcm/book/%e6%ba%ab%e9%9a%b1%e5%b1%85%e6%b5%b7%e4%b8%8a%e4%bb%99%e6%96%b9/index.html"/>
  </r>
  <r>
    <x v="3"/>
    <x v="18"/>
    <x v="3"/>
    <s v="葉氏録験方"/>
    <s v="葉氏錄驗方"/>
    <s v="葉大廉"/>
    <x v="2"/>
    <n v="1186"/>
    <m/>
    <s v="https://jicheng.tw/tcm/book/%e8%91%89%e6%b0%8f%e9%8c%84%e9%a9%97%e6%96%b9/index.html"/>
  </r>
  <r>
    <x v="3"/>
    <x v="18"/>
    <x v="3"/>
    <s v="経験良方全集"/>
    <s v="經驗良方全集"/>
    <s v="姚俊"/>
    <x v="3"/>
    <n v="1862"/>
    <m/>
    <s v="https://jicheng.tw/tcm/book/%e7%b6%93%e9%a9%97%e8%89%af%e6%96%b9%e5%85%a8%e9%9b%86/index.html"/>
  </r>
  <r>
    <x v="3"/>
    <x v="18"/>
    <x v="3"/>
    <s v="医方拾錦"/>
    <s v="醫方拾錦"/>
    <s v="田綿淮"/>
    <x v="3"/>
    <n v="1853"/>
    <m/>
    <s v="https://jicheng.tw/tcm/book/%e9%86%ab%e6%96%b9%e6%8b%be%e9%8c%a6/index.html"/>
  </r>
  <r>
    <x v="3"/>
    <x v="18"/>
    <x v="3"/>
    <s v="益世経験良方"/>
    <s v="益世經驗良方"/>
    <s v="盛景雲"/>
    <x v="3"/>
    <m/>
    <m/>
    <s v="https://jicheng.tw/tcm/book/%e7%9b%8a%e4%b8%96%e7%b6%93%e9%a9%97%e8%89%af%e6%96%b9/index.html"/>
  </r>
  <r>
    <x v="3"/>
    <x v="18"/>
    <x v="3"/>
    <s v="張愛廬臨証経験方"/>
    <s v="張愛廬臨證經驗方"/>
    <s v="張大爔"/>
    <x v="3"/>
    <m/>
    <m/>
    <s v="https://jicheng.tw/tcm/book/%e5%bc%b5%e6%84%9b%e5%bb%ac%e8%87%a8%e8%ad%89%e7%b6%93%e9%a9%97%e6%96%b9/index.html"/>
  </r>
  <r>
    <x v="3"/>
    <x v="18"/>
    <x v="3"/>
    <s v="怪証奇方"/>
    <s v="怪證奇方"/>
    <m/>
    <x v="1"/>
    <m/>
    <m/>
    <s v="https://jicheng.tw/tcm/book/%e6%80%aa%e8%ad%89%e5%a5%87%e6%96%b9/index.html"/>
  </r>
  <r>
    <x v="3"/>
    <x v="18"/>
    <x v="3"/>
    <s v="海上仙方後集"/>
    <s v="海上仙方後集"/>
    <s v="溫大明"/>
    <x v="2"/>
    <m/>
    <m/>
    <s v="https://jicheng.tw/tcm/book/%e6%b5%b7%e4%b8%8a%e4%bb%99%e6%96%b9%e5%be%8c%e9%9b%86/index.html"/>
  </r>
  <r>
    <x v="3"/>
    <x v="18"/>
    <x v="3"/>
    <s v="応急良方"/>
    <s v="應急良方"/>
    <s v="胡文煥"/>
    <x v="5"/>
    <m/>
    <m/>
    <s v="https://jicheng.tw/tcm/book/%e6%87%89%e6%80%a5%e8%89%af%e6%96%b9/index.html"/>
  </r>
  <r>
    <x v="3"/>
    <x v="18"/>
    <x v="3"/>
    <s v="潜斎簡効方"/>
    <s v="潛齋簡效方"/>
    <s v="王士雄"/>
    <x v="3"/>
    <n v="1851"/>
    <m/>
    <s v="https://jicheng.tw/tcm/book/%e6%bd%9b%e9%bd%8b%e7%b0%a1%e6%95%88%e6%96%b9/index.html"/>
  </r>
  <r>
    <x v="3"/>
    <x v="18"/>
    <x v="3"/>
    <s v="四科簡効方"/>
    <s v="四科簡效方"/>
    <s v="王士雄"/>
    <x v="3"/>
    <n v="1854"/>
    <m/>
    <s v="https://jicheng.tw/tcm/book/%e5%9b%9b%e7%a7%91%e7%b0%a1%e6%95%88%e6%96%b9/index.html"/>
  </r>
  <r>
    <x v="3"/>
    <x v="18"/>
    <x v="3"/>
    <s v="校訂願体医話良方"/>
    <s v="校訂願體醫話良方"/>
    <s v="王士雄"/>
    <x v="3"/>
    <m/>
    <m/>
    <s v="https://jicheng.tw/tcm/book/%e6%a0%a1%e8%a8%82%e9%a1%98%e9%ab%94%e9%86%ab%e8%a9%b1%e8%89%af%e6%96%b9/index.html"/>
  </r>
  <r>
    <x v="3"/>
    <x v="18"/>
    <x v="3"/>
    <s v="種杏仙方"/>
    <s v="種杏仙方"/>
    <s v="龔廷賢"/>
    <x v="5"/>
    <n v="1577"/>
    <m/>
    <s v="https://jicheng.tw/tcm/book/%e7%a8%ae%e6%9d%8f%e4%bb%99%e6%96%b9/index.html"/>
  </r>
  <r>
    <x v="3"/>
    <x v="18"/>
    <x v="3"/>
    <s v="本草単方"/>
    <s v="本草單方"/>
    <s v="繆希雍"/>
    <x v="5"/>
    <n v="1633"/>
    <m/>
    <s v="https://jicheng.tw/tcm/book/%e6%9c%ac%e8%8d%89%e5%96%ae%e6%96%b9/index.html"/>
  </r>
  <r>
    <x v="3"/>
    <x v="18"/>
    <x v="3"/>
    <s v="凌臨霊方"/>
    <s v="凌臨靈方"/>
    <s v="凌曉五"/>
    <x v="3"/>
    <n v="1940"/>
    <m/>
    <s v="https://jicheng.tw/tcm/book/%e5%87%8c%e8%87%a8%e9%9d%88%e6%96%b9/index.html"/>
  </r>
  <r>
    <x v="3"/>
    <x v="18"/>
    <x v="3"/>
    <s v="丹方之研究"/>
    <s v="丹方之研究"/>
    <s v="岡西為人"/>
    <x v="1"/>
    <m/>
    <m/>
    <s v="https://jicheng.tw/tcm/book/%e4%b8%b9%e6%96%b9%e4%b9%8b%e7%a0%94%e7%a9%b6/index.html"/>
  </r>
  <r>
    <x v="3"/>
    <x v="18"/>
    <x v="3"/>
    <s v="傅氏験方秘方"/>
    <s v="傅氏驗方秘方"/>
    <s v="傅山"/>
    <x v="5"/>
    <m/>
    <m/>
    <s v="https://jicheng.tw/tcm/book/%e5%82%85%e6%b0%8f%e9%a9%97%e6%96%b9%e7%a7%98%e6%96%b9/index.html"/>
  </r>
  <r>
    <x v="3"/>
    <x v="18"/>
    <x v="3"/>
    <s v="経験選秘"/>
    <s v="經驗選秘"/>
    <s v="胡增彬"/>
    <x v="3"/>
    <m/>
    <m/>
    <s v="https://jicheng.tw/tcm/book/%e7%b6%93%e9%a9%97%e9%81%b8%e7%a7%98/index.html"/>
  </r>
  <r>
    <x v="3"/>
    <x v="18"/>
    <x v="3"/>
    <s v="良朋彙集経験神方"/>
    <s v="良朋彙集經驗神方"/>
    <s v="孫偉"/>
    <x v="3"/>
    <n v="1711"/>
    <m/>
    <s v="https://jicheng.tw/tcm/book/%e8%89%af%e6%9c%8b%e5%bd%99%e9%9b%86%e7%b6%93%e9%a9%97%e7%a5%9e%e6%96%b9/index.html"/>
  </r>
  <r>
    <x v="3"/>
    <x v="18"/>
    <x v="3"/>
    <s v="菉竹堂集験方"/>
    <s v="菉竹堂集驗方"/>
    <s v="羅浮山人"/>
    <x v="5"/>
    <m/>
    <m/>
    <s v="https://jicheng.tw/tcm/book/%e8%8f%89%e7%ab%b9%e5%a0%82%e9%9b%86%e9%a9%97%e6%96%b9/index.html"/>
  </r>
  <r>
    <x v="3"/>
    <x v="18"/>
    <x v="3"/>
    <s v="䱐渓秘伝簡験方"/>
    <s v="䱐溪秘傳簡驗方"/>
    <s v="陸錦燧"/>
    <x v="11"/>
    <n v="1918"/>
    <m/>
    <s v="https://jicheng.tw/tcm/book/%e4%b1%90%e6%ba%aa%e7%a7%98%e5%82%b3%e7%b0%a1%e9%a9%97%e6%96%b9/index.html"/>
  </r>
  <r>
    <x v="3"/>
    <x v="18"/>
    <x v="3"/>
    <s v="霊験良方彙編"/>
    <s v="靈驗良方彙編"/>
    <s v="沈銘三原本，田間來增輯"/>
    <x v="3"/>
    <n v="1729"/>
    <m/>
    <s v="https://jicheng.tw/tcm/book/%e9%9d%88%e9%a9%97%e8%89%af%e6%96%b9%e5%bd%99%e7%b7%a8/index.html"/>
  </r>
  <r>
    <x v="3"/>
    <x v="18"/>
    <x v="3"/>
    <s v="虺後方"/>
    <s v="虺後方"/>
    <s v="喻政"/>
    <x v="5"/>
    <n v="1634"/>
    <m/>
    <s v="https://jicheng.tw/tcm/book/%e8%99%ba%e5%be%8c%e6%96%b9/index.html"/>
  </r>
  <r>
    <x v="4"/>
    <x v="3"/>
    <x v="3"/>
    <s v="奇経八脈考"/>
    <s v="奇經八脈考"/>
    <s v="李時珍"/>
    <x v="5"/>
    <n v="1577"/>
    <m/>
    <s v="https://jicheng.tw/tcm/book/%e5%a5%87%e7%b6%93%e5%85%ab%e8%84%88%e8%80%83/index.html"/>
  </r>
  <r>
    <x v="4"/>
    <x v="3"/>
    <x v="3"/>
    <s v="鍼灸大全"/>
    <s v="針灸大全"/>
    <s v="徐鳳"/>
    <x v="5"/>
    <n v="1439"/>
    <m/>
    <s v="https://jicheng.tw/tcm/book/%e9%87%9d%e7%81%b8%e5%a4%a7%e5%85%a8/index.html"/>
  </r>
  <r>
    <x v="4"/>
    <x v="3"/>
    <x v="3"/>
    <s v="凌門伝授銅人指穴"/>
    <s v="凌門傳授銅人指穴"/>
    <m/>
    <x v="3"/>
    <s v="1644-1662"/>
    <m/>
    <s v="https://jicheng.tw/tcm/book/%e5%87%8c%e9%96%80%e5%82%b3%e6%8e%88%e9%8a%85%e4%ba%ba%e6%8c%87%e7%a9%b4/index.html"/>
  </r>
  <r>
    <x v="4"/>
    <x v="3"/>
    <x v="3"/>
    <s v="鍼灸神書"/>
    <s v="針灸神書"/>
    <s v="瓊瑤真人"/>
    <x v="2"/>
    <m/>
    <m/>
    <s v="https://jicheng.tw/tcm/book/%e9%87%9d%e7%81%b8%e7%a5%9e%e6%9b%b8/index.html"/>
  </r>
  <r>
    <x v="4"/>
    <x v="3"/>
    <x v="3"/>
    <s v="鍼灸甲乙経"/>
    <s v="針灸甲乙經"/>
    <s v="皇甫謐"/>
    <x v="10"/>
    <n v="256"/>
    <m/>
    <s v="https://jicheng.tw/tcm/book/%e9%87%9d%e7%81%b8%e7%94%b2%e4%b9%99%e7%b6%93/index.html"/>
  </r>
  <r>
    <x v="4"/>
    <x v="3"/>
    <x v="3"/>
    <s v="鍼灸甲乙経_1"/>
    <s v="針灸甲乙經_1"/>
    <s v="皇甫謐"/>
    <x v="10"/>
    <m/>
    <m/>
    <s v="https://jicheng.tw/tcm/book/%e9%87%9d%e7%81%b8%e7%94%b2%e4%b9%99%e7%b6%93%5f%31/index.html"/>
  </r>
  <r>
    <x v="4"/>
    <x v="3"/>
    <x v="3"/>
    <s v="金針秘伝"/>
    <s v="金針秘傳"/>
    <s v="方慎庵"/>
    <x v="3"/>
    <m/>
    <m/>
    <s v="https://jicheng.tw/tcm/book/%e9%87%91%e9%87%9d%e7%a7%98%e5%82%b3/index.html"/>
  </r>
  <r>
    <x v="4"/>
    <x v="3"/>
    <x v="3"/>
    <s v="鍼灸集成"/>
    <s v="針灸集成"/>
    <s v="廖潤鴻"/>
    <x v="3"/>
    <n v="1874"/>
    <m/>
    <s v="https://jicheng.tw/tcm/book/%e9%87%9d%e7%81%b8%e9%9b%86%e6%88%90/index.html"/>
  </r>
  <r>
    <x v="4"/>
    <x v="3"/>
    <x v="3"/>
    <s v="扁鵲神応鍼灸玉龍経"/>
    <s v="扁鵲神應針灸玉龍經"/>
    <s v="王國瑞"/>
    <x v="4"/>
    <n v="1329"/>
    <m/>
    <s v="https://jicheng.tw/tcm/book/%e6%89%81%e9%b5%b2%e7%a5%9e%e6%87%89%e9%87%9d%e7%81%b8%e7%8e%89%e9%be%8d%e7%b6%93/index.html"/>
  </r>
  <r>
    <x v="4"/>
    <x v="3"/>
    <x v="3"/>
    <s v="楊敬斎鍼灸全書"/>
    <s v="楊敬齋針灸全書"/>
    <s v="陳言"/>
    <x v="5"/>
    <n v="1591"/>
    <m/>
    <s v="https://jicheng.tw/tcm/book/%e6%a5%8a%e6%95%ac%e9%bd%8b%e9%87%9d%e7%81%b8%e5%85%a8%e6%9b%b8/index.html"/>
  </r>
  <r>
    <x v="4"/>
    <x v="3"/>
    <x v="3"/>
    <s v="経絡彙編"/>
    <s v="經絡彙編"/>
    <s v="翟良"/>
    <x v="5"/>
    <n v="1628"/>
    <m/>
    <s v="https://jicheng.tw/tcm/book/%e7%b6%93%e7%b5%a1%e5%bd%99%e7%b7%a8/index.html"/>
  </r>
  <r>
    <x v="4"/>
    <x v="3"/>
    <x v="3"/>
    <s v="経絡全書"/>
    <s v="經絡全書"/>
    <s v="沈子祿、徐師曾撰"/>
    <x v="5"/>
    <n v="1576"/>
    <m/>
    <s v="https://jicheng.tw/tcm/book/%e7%b6%93%e7%b5%a1%e5%85%a8%e6%9b%b8/index.html"/>
  </r>
  <r>
    <x v="4"/>
    <x v="3"/>
    <x v="3"/>
    <s v="鍼灸易学"/>
    <s v="針灸易學"/>
    <s v="李守先"/>
    <x v="3"/>
    <n v="1798"/>
    <m/>
    <s v="https://jicheng.tw/tcm/book/%e9%87%9d%e7%81%b8%e6%98%93%e5%ad%b8/index.html"/>
  </r>
  <r>
    <x v="4"/>
    <x v="3"/>
    <x v="3"/>
    <s v="普済方·鍼灸門"/>
    <s v="普濟方·針灸門"/>
    <s v="朱橚"/>
    <x v="5"/>
    <n v="1406"/>
    <m/>
    <s v="https://jicheng.tw/tcm/book/%E6%99%AE%E6%BF%9F%E6%96%B9/%E9%87%9D%E7%81%B8%E9%96%80/index.html"/>
  </r>
  <r>
    <x v="4"/>
    <x v="3"/>
    <x v="3"/>
    <s v="鍼灸聚英"/>
    <s v="針灸聚英"/>
    <s v="高武"/>
    <x v="5"/>
    <n v="1529"/>
    <m/>
    <s v="https://jicheng.tw/tcm/book/%e9%87%9d%e7%81%b8%e8%81%9a%e8%8b%b1/index.html"/>
  </r>
  <r>
    <x v="4"/>
    <x v="3"/>
    <x v="3"/>
    <s v="鍼灸聚英_1"/>
    <s v="針灸聚英_1"/>
    <s v="高武"/>
    <x v="5"/>
    <m/>
    <m/>
    <s v="https://jicheng.tw/tcm/book/%e9%87%9d%e7%81%b8%e8%81%9a%e8%8b%b1%5f%31/index.html"/>
  </r>
  <r>
    <x v="4"/>
    <x v="3"/>
    <x v="3"/>
    <s v="医宗金鑑·刺灸心法要訣"/>
    <s v="醫宗金鑑·刺灸心法要訣"/>
    <s v="吳謙等"/>
    <x v="3"/>
    <n v="1742"/>
    <m/>
    <s v="https://jicheng.tw/tcm/book/%E9%86%AB%E5%AE%97%E9%87%91%E9%91%91/%E5%88%BA%E7%81%B8%E5%BF%83%E6%B3%95%E8%A6%81%E8%A8%A3/index.html"/>
  </r>
  <r>
    <x v="4"/>
    <x v="3"/>
    <x v="3"/>
    <s v="鍼灸問対"/>
    <s v="針灸問對"/>
    <s v="汪機"/>
    <x v="5"/>
    <n v="1530"/>
    <m/>
    <s v="https://jicheng.tw/tcm/book/%e9%87%9d%e7%81%b8%e5%95%8f%e5%b0%8d/index.html"/>
  </r>
  <r>
    <x v="4"/>
    <x v="3"/>
    <x v="3"/>
    <s v="鍼灸問対_1"/>
    <s v="針灸問對_1"/>
    <s v="汪機"/>
    <x v="5"/>
    <m/>
    <m/>
    <s v="https://jicheng.tw/tcm/book/%e9%87%9d%e7%81%b8%e5%95%8f%e5%b0%8d%5f%31/index.html"/>
  </r>
  <r>
    <x v="4"/>
    <x v="3"/>
    <x v="3"/>
    <s v="針経指南"/>
    <s v="針經指南"/>
    <s v="竇傑（竇漢卿）"/>
    <x v="4"/>
    <n v="1295"/>
    <m/>
    <s v="https://jicheng.tw/tcm/book/%e9%87%9d%e7%b6%93%e6%8c%87%e5%8d%97/index.html"/>
  </r>
  <r>
    <x v="4"/>
    <x v="3"/>
    <x v="3"/>
    <s v="黄帝明堂灸経"/>
    <s v="黃帝明堂灸經"/>
    <m/>
    <x v="7"/>
    <m/>
    <m/>
    <s v="https://jicheng.tw/tcm/book/%e9%bb%83%e5%b8%9d%e6%98%8e%e5%a0%82%e7%81%b8%e7%b6%93/index.html"/>
  </r>
  <r>
    <x v="4"/>
    <x v="3"/>
    <x v="3"/>
    <s v="針経節要"/>
    <s v="針經節要"/>
    <s v="杜思敬"/>
    <x v="4"/>
    <n v="1315"/>
    <m/>
    <s v="https://jicheng.tw/tcm/book/%e9%87%9d%e7%b6%93%e7%af%80%e8%a6%81/index.html"/>
  </r>
  <r>
    <x v="4"/>
    <x v="3"/>
    <x v="3"/>
    <s v="鍼灸資生経"/>
    <s v="針灸資生經"/>
    <s v="王執中"/>
    <x v="9"/>
    <n v="1220"/>
    <m/>
    <s v="https://jicheng.tw/tcm/book/%e9%87%9d%e7%81%b8%e8%b3%87%e7%94%9f%e7%b6%93/index.html"/>
  </r>
  <r>
    <x v="4"/>
    <x v="3"/>
    <x v="3"/>
    <s v="鍼灸素難要旨"/>
    <s v="針灸素難要旨"/>
    <s v="高武"/>
    <x v="5"/>
    <n v="1537"/>
    <m/>
    <s v="https://jicheng.tw/tcm/book/%e9%87%9d%e7%81%b8%e7%b4%a0%e9%9b%a3%e8%a6%81%e6%97%a8/index.html"/>
  </r>
  <r>
    <x v="4"/>
    <x v="3"/>
    <x v="3"/>
    <s v="経穴彙解"/>
    <s v="經穴彙解"/>
    <s v="原昌克"/>
    <x v="3"/>
    <n v="1803"/>
    <m/>
    <s v="https://jicheng.tw/tcm/book/%e7%b6%93%e7%a9%b4%e5%bd%99%e8%a7%a3/index.html"/>
  </r>
  <r>
    <x v="4"/>
    <x v="3"/>
    <x v="3"/>
    <s v="西方子明堂灸経"/>
    <s v="西方子明堂灸經"/>
    <m/>
    <x v="4"/>
    <n v="1368"/>
    <m/>
    <s v="https://jicheng.tw/tcm/book/%e8%a5%bf%e6%96%b9%e5%ad%90%e6%98%8e%e5%a0%82%e7%81%b8%e7%b6%93/index.html"/>
  </r>
  <r>
    <x v="4"/>
    <x v="3"/>
    <x v="3"/>
    <s v="霊枢経脈翼"/>
    <s v="靈樞經脈翼"/>
    <s v="夏英"/>
    <x v="5"/>
    <n v="1497"/>
    <m/>
    <s v="https://jicheng.tw/tcm/book/%e9%9d%88%e6%a8%9e%e7%b6%93%e8%84%88%e7%bf%bc/index.html"/>
  </r>
  <r>
    <x v="4"/>
    <x v="3"/>
    <x v="3"/>
    <s v="経絡考"/>
    <s v="經絡考"/>
    <s v="張三錫"/>
    <x v="5"/>
    <n v="1609"/>
    <m/>
    <s v="https://jicheng.tw/tcm/book/%e7%b6%93%e7%b5%a1%e8%80%83/index.html"/>
  </r>
  <r>
    <x v="4"/>
    <x v="3"/>
    <x v="3"/>
    <s v="十四経発揮"/>
    <s v="十四經發揮"/>
    <s v="滑壽"/>
    <x v="4"/>
    <n v="1341"/>
    <m/>
    <s v="https://jicheng.tw/tcm/book/%e5%8d%81%e5%9b%9b%e7%b6%93%e7%99%bc%e6%8f%ae/index.html"/>
  </r>
  <r>
    <x v="4"/>
    <x v="3"/>
    <x v="3"/>
    <s v="十四経発揮_1"/>
    <s v="十四經發揮_1"/>
    <s v="滑壽"/>
    <x v="4"/>
    <m/>
    <m/>
    <s v="https://jicheng.tw/tcm/book/%e5%8d%81%e5%9b%9b%e7%b6%93%e7%99%bc%e6%8f%ae%5f%31/index.html"/>
  </r>
  <r>
    <x v="4"/>
    <x v="3"/>
    <x v="3"/>
    <s v="鍼灸大成"/>
    <s v="針灸大成"/>
    <s v="楊繼洲"/>
    <x v="5"/>
    <m/>
    <m/>
    <s v="https://jicheng.tw/tcm/book/%e9%87%9d%e7%81%b8%e5%a4%a7%e6%88%90/index.html"/>
  </r>
  <r>
    <x v="4"/>
    <x v="3"/>
    <x v="3"/>
    <s v="鍼灸大成_1"/>
    <s v="針灸大成_1"/>
    <s v="楊繼洲"/>
    <x v="5"/>
    <m/>
    <m/>
    <s v="https://jicheng.tw/tcm/book/%e9%87%9d%e7%81%b8%e5%a4%a7%e6%88%90%5f%31/index.html"/>
  </r>
  <r>
    <x v="4"/>
    <x v="3"/>
    <x v="3"/>
    <s v="鍼灸節要"/>
    <s v="針灸節要"/>
    <s v="高武"/>
    <x v="5"/>
    <n v="1529"/>
    <m/>
    <s v="https://jicheng.tw/tcm/book/%e9%87%9d%e7%81%b8%e7%af%80%e8%a6%81/index.html"/>
  </r>
  <r>
    <x v="4"/>
    <x v="3"/>
    <x v="3"/>
    <s v="神応経"/>
    <s v="神應經"/>
    <s v="陳會撰，劉瑾補輯"/>
    <x v="5"/>
    <n v="1425"/>
    <m/>
    <s v="https://jicheng.tw/tcm/book/%e7%a5%9e%e6%87%89%e7%b6%93/index.html"/>
  </r>
  <r>
    <x v="4"/>
    <x v="3"/>
    <x v="3"/>
    <s v="鍼灸逢源"/>
    <s v="針灸逢源"/>
    <s v="李學川"/>
    <x v="3"/>
    <n v="1815"/>
    <m/>
    <s v="https://jicheng.tw/tcm/book/%e9%87%9d%e7%81%b8%e9%80%a2%e6%ba%90/index.html"/>
  </r>
  <r>
    <x v="4"/>
    <x v="3"/>
    <x v="3"/>
    <s v="類経図翼"/>
    <s v="類經圖翼"/>
    <s v="張介賓"/>
    <x v="5"/>
    <n v="1624"/>
    <m/>
    <s v="https://jicheng.tw/tcm/book/%e9%a1%9e%e7%b6%93%e5%9c%96%e7%bf%bc/index.html"/>
  </r>
  <r>
    <x v="4"/>
    <x v="3"/>
    <x v="3"/>
    <s v="考正周身穴法歌"/>
    <s v="考正周身穴法歌"/>
    <s v="廖潤鴻"/>
    <x v="3"/>
    <n v="1874"/>
    <m/>
    <s v="https://jicheng.tw/tcm/book/%e8%80%83%e6%ad%a3%e5%91%a8%e8%ba%ab%e7%a9%b4%e6%b3%95%e6%ad%8c/index.html"/>
  </r>
  <r>
    <x v="4"/>
    <x v="3"/>
    <x v="3"/>
    <s v="資生集"/>
    <s v="資生集"/>
    <s v="董熿輯，張萬選校刻"/>
    <x v="3"/>
    <n v="1763"/>
    <m/>
    <s v="https://jicheng.tw/tcm/book/%e8%b3%87%e7%94%9f%e9%9b%86/index.html"/>
  </r>
  <r>
    <x v="4"/>
    <x v="3"/>
    <x v="3"/>
    <s v="中西匯参銅人図説"/>
    <s v="中西匯參銅人圖說"/>
    <s v="劉鍾衡"/>
    <x v="3"/>
    <n v="1899"/>
    <m/>
    <s v="https://jicheng.tw/tcm/book/%e4%b8%ad%e8%a5%bf%e5%8c%af%e5%8f%83%e9%8a%85%e4%ba%ba%e5%9c%96%e8%aa%aa/index.html"/>
  </r>
  <r>
    <x v="4"/>
    <x v="3"/>
    <x v="3"/>
    <s v="鍼灸問答"/>
    <s v="針灸問答"/>
    <s v="譚志光"/>
    <x v="11"/>
    <n v="1929"/>
    <m/>
    <s v="https://jicheng.tw/tcm/book/%e9%87%9d%e7%81%b8%e5%95%8f%e7%ad%94/index.html"/>
  </r>
  <r>
    <x v="4"/>
    <x v="3"/>
    <x v="3"/>
    <s v="経脈図考"/>
    <s v="經脈圖考"/>
    <s v="陳惠疇"/>
    <x v="3"/>
    <m/>
    <m/>
    <s v="https://jicheng.tw/tcm/book/%e7%b6%93%e8%84%88%e5%9c%96%e8%80%83/index.html"/>
  </r>
  <r>
    <x v="4"/>
    <x v="3"/>
    <x v="3"/>
    <s v="勉学堂鍼灸集成"/>
    <s v="勉學堂針灸集成"/>
    <s v="廖潤鴻"/>
    <x v="3"/>
    <m/>
    <m/>
    <s v="https://jicheng.tw/tcm/book/%e5%8b%89%e5%ad%b8%e5%a0%82%e9%87%9d%e7%81%b8%e9%9b%86%e6%88%90/index.html"/>
  </r>
  <r>
    <x v="4"/>
    <x v="3"/>
    <x v="3"/>
    <s v="証治針経"/>
    <s v="證治針經"/>
    <s v="郭誠勳"/>
    <x v="3"/>
    <n v="1823"/>
    <m/>
    <s v="https://jicheng.tw/tcm/book/%e8%ad%89%e6%b2%bb%e9%87%9d%e7%b6%93/index.html"/>
  </r>
  <r>
    <x v="4"/>
    <x v="3"/>
    <x v="3"/>
    <s v="脈度運行考"/>
    <s v="脈度運行考"/>
    <s v="李彰五"/>
    <x v="3"/>
    <n v="1898"/>
    <m/>
    <s v="https://jicheng.tw/tcm/book/%e8%84%88%e5%ba%a6%e9%81%8b%e8%a1%8c%e8%80%83/index.html"/>
  </r>
  <r>
    <x v="4"/>
    <x v="3"/>
    <x v="3"/>
    <s v="鍼灸学綱要"/>
    <s v="針灸學綱要"/>
    <s v="管周桂"/>
    <x v="1"/>
    <m/>
    <m/>
    <s v="https://jicheng.tw/tcm/book/%e9%87%9d%e7%81%b8%e5%ad%b8%e7%b6%b1%e8%a6%81/index.html"/>
  </r>
  <r>
    <x v="4"/>
    <x v="3"/>
    <x v="3"/>
    <s v="針方六集"/>
    <s v="針方六集"/>
    <s v="吳昆"/>
    <x v="5"/>
    <n v="1618"/>
    <m/>
    <s v="https://jicheng.tw/tcm/book/%e9%87%9d%e6%96%b9%e5%85%ad%e9%9b%86/index.html"/>
  </r>
  <r>
    <x v="4"/>
    <x v="3"/>
    <x v="3"/>
    <s v="針学通論"/>
    <s v="針學通論"/>
    <s v="佐藤利信"/>
    <x v="1"/>
    <m/>
    <m/>
    <s v="https://jicheng.tw/tcm/book/%e9%87%9d%e5%ad%b8%e9%80%9a%e8%ab%96/index.html"/>
  </r>
  <r>
    <x v="4"/>
    <x v="3"/>
    <x v="3"/>
    <s v="経穴纂要"/>
    <s v="經穴纂要"/>
    <s v="小阪營升"/>
    <x v="3"/>
    <n v="1810"/>
    <m/>
    <s v="https://jicheng.tw/tcm/book/%e7%b6%93%e7%a9%b4%e7%ba%82%e8%a6%81/index.html"/>
  </r>
  <r>
    <x v="4"/>
    <x v="3"/>
    <x v="3"/>
    <s v="身経通考"/>
    <s v="身經通考"/>
    <s v="李瀠"/>
    <x v="3"/>
    <n v="1671"/>
    <m/>
    <s v="https://jicheng.tw/tcm/book/%e8%ba%ab%e7%b6%93%e9%80%9a%e8%80%83/index.html"/>
  </r>
  <r>
    <x v="4"/>
    <x v="3"/>
    <x v="3"/>
    <s v="子午流注針経"/>
    <s v="子午流注針經"/>
    <s v="閻明廣"/>
    <x v="6"/>
    <n v="1153"/>
    <m/>
    <s v="https://jicheng.tw/tcm/book/%e5%ad%90%e5%8d%88%e6%b5%81%e6%b3%a8%e9%87%9d%e7%b6%93/index.html"/>
  </r>
  <r>
    <x v="4"/>
    <x v="3"/>
    <x v="3"/>
    <s v="灸膏肓腧穴法"/>
    <s v="灸膏肓腧穴法"/>
    <s v="莊綽"/>
    <x v="2"/>
    <n v="1128"/>
    <m/>
    <s v="https://jicheng.tw/tcm/book/%e7%81%b8%e8%86%8f%e8%82%93%e8%85%a7%e7%a9%b4%e6%b3%95/index.html"/>
  </r>
  <r>
    <x v="4"/>
    <x v="3"/>
    <x v="3"/>
    <s v="灸法秘伝"/>
    <s v="灸法秘傳"/>
    <s v="劉國光"/>
    <x v="3"/>
    <n v="1883"/>
    <m/>
    <s v="https://jicheng.tw/tcm/book/%e7%81%b8%e6%b3%95%e7%a7%98%e5%82%b3/index.html"/>
  </r>
  <r>
    <x v="4"/>
    <x v="3"/>
    <x v="3"/>
    <s v="子午流注説難"/>
    <s v="子午流注說難"/>
    <s v="閻明廣"/>
    <x v="6"/>
    <m/>
    <m/>
    <s v="https://jicheng.tw/tcm/book/%e5%ad%90%e5%8d%88%e6%b5%81%e6%b3%a8%e8%aa%aa%e9%9b%a3/index.html"/>
  </r>
  <r>
    <x v="4"/>
    <x v="3"/>
    <x v="3"/>
    <s v="宋本備急灸法"/>
    <s v="宋本備急灸法"/>
    <s v="孫炬卿"/>
    <x v="2"/>
    <m/>
    <m/>
    <s v="https://jicheng.tw/tcm/book/%e5%ae%8b%e6%9c%ac%e5%82%99%e6%80%a5%e7%81%b8%e6%b3%95/index.html"/>
  </r>
  <r>
    <x v="4"/>
    <x v="3"/>
    <x v="3"/>
    <s v="神灸経綸"/>
    <s v="神灸經綸"/>
    <s v="吳亦鼎"/>
    <x v="3"/>
    <n v="1851"/>
    <m/>
    <s v="https://jicheng.tw/tcm/book/%e7%a5%9e%e7%81%b8%e7%b6%93%e7%b6%b8/index.html"/>
  </r>
  <r>
    <x v="4"/>
    <x v="3"/>
    <x v="3"/>
    <s v="楊成博先生遺留穴道秘書"/>
    <s v="楊成博先生遺留穴道秘書"/>
    <s v="楊成博"/>
    <x v="3"/>
    <m/>
    <m/>
    <s v="https://jicheng.tw/tcm/book/%e6%a5%8a%e6%88%90%e5%8d%9a%e5%85%88%e7%94%9f%e9%81%ba%e7%95%99%e7%a9%b4%e9%81%93%e7%a7%98%e6%9b%b8/index.html"/>
  </r>
  <r>
    <x v="4"/>
    <x v="3"/>
    <x v="3"/>
    <s v="選針三要集"/>
    <s v="選針三要集"/>
    <s v="杉山和一"/>
    <x v="1"/>
    <m/>
    <m/>
    <s v="https://jicheng.tw/tcm/book/%e9%81%b8%e9%87%9d%e4%b8%89%e8%a6%81%e9%9b%86/index.html"/>
  </r>
  <r>
    <x v="4"/>
    <x v="3"/>
    <x v="3"/>
    <s v="推拿抉微"/>
    <s v="推拿抉微"/>
    <s v="徐學修"/>
    <x v="11"/>
    <n v="1928"/>
    <m/>
    <s v="https://jicheng.tw/tcm/book/%e6%8e%a8%e6%8b%bf%e6%8a%89%e5%be%ae/index.html"/>
  </r>
  <r>
    <x v="4"/>
    <x v="3"/>
    <x v="3"/>
    <s v="釐正按摩要術"/>
    <s v="釐正按摩要術"/>
    <s v="張筱衫"/>
    <x v="3"/>
    <n v="1888"/>
    <m/>
    <s v="https://jicheng.tw/tcm/book/%e9%87%90%e6%ad%a3%e6%8c%89%e6%91%a9%e8%a6%81%e8%a1%93/index.html"/>
  </r>
  <r>
    <x v="4"/>
    <x v="3"/>
    <x v="3"/>
    <s v="銅人鍼灸経"/>
    <s v="銅人針灸經"/>
    <m/>
    <x v="1"/>
    <m/>
    <m/>
    <s v="https://jicheng.tw/tcm/book/%e9%8a%85%e4%ba%ba%e9%87%9d%e7%81%b8%e7%b6%93/index.html"/>
  </r>
  <r>
    <x v="4"/>
    <x v="3"/>
    <x v="3"/>
    <s v="銅人腧穴鍼灸図経"/>
    <s v="銅人腧穴針灸圖經"/>
    <s v="王惟一"/>
    <x v="2"/>
    <n v="1026"/>
    <m/>
    <s v="https://jicheng.tw/tcm/book/%e9%8a%85%e4%ba%ba%e8%85%a7%e7%a9%b4%e9%87%9d%e7%81%b8%e5%9c%96%e7%b6%93/index.html"/>
  </r>
  <r>
    <x v="4"/>
    <x v="3"/>
    <x v="3"/>
    <s v="新刊補註銅人腧穴鍼灸図経"/>
    <s v="新刊補註銅人腧穴針灸圖經"/>
    <s v="宋·王惟一原著，金·閉邪瞶叟增補"/>
    <x v="6"/>
    <n v="1186"/>
    <m/>
    <s v="https://jicheng.tw/tcm/book/%e6%96%b0%e5%88%8a%e8%a3%9c%e8%a8%bb%e9%8a%85%e4%ba%ba%e8%85%a7%e7%a9%b4%e9%87%9d%e7%81%b8%e5%9c%96%e7%b6%93/index.html"/>
  </r>
  <r>
    <x v="5"/>
    <x v="19"/>
    <x v="3"/>
    <s v="傷寒論（宋本）"/>
    <s v="傷寒論（宋本）"/>
    <s v="張機"/>
    <x v="20"/>
    <s v="25-220"/>
    <m/>
    <s v="https://jicheng.tw/tcm/book/%E5%82%B7%E5%AF%92%E8%AB%96%EF%BC%88%E5%AE%8B%E6%9C%AC%EF%BC%89/index.html"/>
  </r>
  <r>
    <x v="5"/>
    <x v="19"/>
    <x v="3"/>
    <s v="傷寒雑病論（桂林古本） ****"/>
    <s v="傷寒雜病論（桂林古本） ****"/>
    <s v="張機"/>
    <x v="20"/>
    <s v="25-220"/>
    <m/>
    <s v="https://jicheng.tw/tcm/book/%E5%82%B7%E5%AF%92%E9%9B%9C%E7%97%85%E8%AB%96%EF%BC%88%E6%A1%82%E6%9E%97%E5%8F%A4%E6%9C%AC%EF%BC%89/index.html"/>
  </r>
  <r>
    <x v="5"/>
    <x v="19"/>
    <x v="3"/>
    <s v="古本康平傷寒論"/>
    <s v="古本康平傷寒論"/>
    <s v="張機著，大塚敬節校正"/>
    <x v="20"/>
    <s v="25-220"/>
    <m/>
    <s v="https://jicheng.tw/tcm/book/%e5%8f%a4%e6%9c%ac%e5%ba%b7%e5%b9%b3%e5%82%b7%e5%af%92%e8%ab%96/index.html"/>
  </r>
  <r>
    <x v="5"/>
    <x v="19"/>
    <x v="3"/>
    <s v="傷寒雑病論集解"/>
    <s v="傷寒雜病論集解"/>
    <s v="張機著，林億等集解"/>
    <x v="21"/>
    <m/>
    <m/>
    <s v="https://jicheng.tw/tcm/book/%e5%82%b7%e5%af%92%e9%9b%9c%e7%97%85%e8%ab%96%e9%9b%86%e8%a7%a3/index.html"/>
  </r>
  <r>
    <x v="5"/>
    <x v="19"/>
    <x v="3"/>
    <s v="註解傷寒論"/>
    <s v="註解傷寒論"/>
    <s v="漢·張機著，晉·王叔和撰次，金·成無己注"/>
    <x v="6"/>
    <n v="1144"/>
    <m/>
    <s v="https://jicheng.tw/tcm/book/%e8%a8%bb%e8%a7%a3%e5%82%b7%e5%af%92%e8%ab%96/index.html"/>
  </r>
  <r>
    <x v="5"/>
    <x v="19"/>
    <x v="3"/>
    <s v="張卿子傷寒論"/>
    <s v="張卿子傷寒論"/>
    <s v="漢·張機著，晉·王叔和撰次，金·成無己注，清·張遂辰參"/>
    <x v="3"/>
    <n v="1644"/>
    <m/>
    <s v="https://jicheng.tw/tcm/book/%e5%bc%b5%e5%8d%bf%e5%ad%90%e5%82%b7%e5%af%92%e8%ab%96/index.html"/>
  </r>
  <r>
    <x v="5"/>
    <x v="19"/>
    <x v="3"/>
    <s v="傷寒論翼"/>
    <s v="傷寒論翼"/>
    <s v="柯琴"/>
    <x v="3"/>
    <n v="1674"/>
    <m/>
    <s v="https://jicheng.tw/tcm/book/%e5%82%b7%e5%af%92%e8%ab%96%e7%bf%bc/index.html"/>
  </r>
  <r>
    <x v="5"/>
    <x v="19"/>
    <x v="3"/>
    <s v="傷寒微旨論"/>
    <s v="傷寒微旨論"/>
    <s v="韓袛和"/>
    <x v="2"/>
    <n v="1086"/>
    <m/>
    <s v="https://jicheng.tw/tcm/book/%e5%82%b7%e5%af%92%e5%be%ae%e6%97%a8%e8%ab%96/index.html"/>
  </r>
  <r>
    <x v="5"/>
    <x v="19"/>
    <x v="3"/>
    <s v="傷寒標本心法類萃"/>
    <s v="傷寒標本心法類萃"/>
    <s v="劉完素"/>
    <x v="6"/>
    <n v="1186"/>
    <m/>
    <s v="https://jicheng.tw/tcm/book/%e5%82%b7%e5%af%92%e6%a8%99%e6%9c%ac%e5%bf%83%e6%b3%95%e9%a1%9e%e8%90%83/index.html"/>
  </r>
  <r>
    <x v="5"/>
    <x v="19"/>
    <x v="3"/>
    <s v="傷寒標本心法類萃_1"/>
    <s v="傷寒標本心法類萃_1"/>
    <s v="劉完素"/>
    <x v="6"/>
    <m/>
    <m/>
    <s v="https://jicheng.tw/tcm/book/%e5%82%b7%e5%af%92%e6%a8%99%e6%9c%ac%e5%bf%83%e6%b3%95%e9%a1%9e%e8%90%83%5f%31/index.html"/>
  </r>
  <r>
    <x v="5"/>
    <x v="19"/>
    <x v="3"/>
    <s v="類証活人書"/>
    <s v="類證活人書"/>
    <s v="朱肱"/>
    <x v="2"/>
    <n v="1118"/>
    <m/>
    <s v="https://jicheng.tw/tcm/book/%e9%a1%9e%e8%ad%89%e6%b4%bb%e4%ba%ba%e6%9b%b8/index.html"/>
  </r>
  <r>
    <x v="5"/>
    <x v="19"/>
    <x v="3"/>
    <s v="類証活人書_1"/>
    <s v="類證活人書_1"/>
    <s v="朱肱"/>
    <x v="2"/>
    <m/>
    <m/>
    <s v="https://jicheng.tw/tcm/book/%e9%a1%9e%e8%ad%89%e6%b4%bb%e4%ba%ba%e6%9b%b8%5f%31/index.html"/>
  </r>
  <r>
    <x v="5"/>
    <x v="19"/>
    <x v="3"/>
    <s v="傷寒直格"/>
    <s v="傷寒直格"/>
    <s v="劉完素"/>
    <x v="6"/>
    <s v="1115-1234"/>
    <m/>
    <s v="https://jicheng.tw/tcm/book/%e5%82%b7%e5%af%92%e7%9b%b4%e6%a0%bc/index.html"/>
  </r>
  <r>
    <x v="5"/>
    <x v="19"/>
    <x v="3"/>
    <s v="傷寒直格_1"/>
    <s v="傷寒直格_1"/>
    <s v="劉完素"/>
    <x v="6"/>
    <m/>
    <m/>
    <s v="https://jicheng.tw/tcm/book/%e5%82%b7%e5%af%92%e7%9b%b4%e6%a0%bc%5f%31/index.html"/>
  </r>
  <r>
    <x v="5"/>
    <x v="19"/>
    <x v="3"/>
    <s v="傷寒遡源集"/>
    <s v="傷寒溯源集"/>
    <s v="錢潢"/>
    <x v="3"/>
    <n v="1707"/>
    <m/>
    <s v="https://jicheng.tw/tcm/book/%e5%82%b7%e5%af%92%e6%ba%af%e6%ba%90%e9%9b%86/index.html"/>
  </r>
  <r>
    <x v="5"/>
    <x v="19"/>
    <x v="3"/>
    <s v="傷寒来蘇集"/>
    <s v="傷寒來蘇集"/>
    <s v="柯琴"/>
    <x v="3"/>
    <n v="1669"/>
    <m/>
    <s v="https://jicheng.tw/tcm/book/%e5%82%b7%e5%af%92%e4%be%86%e8%98%87%e9%9b%86/index.html"/>
  </r>
  <r>
    <x v="5"/>
    <x v="19"/>
    <x v="3"/>
    <s v="傷寒論註来蘇集"/>
    <s v="傷寒論註來蘇集"/>
    <s v="柯琴"/>
    <x v="3"/>
    <n v="1669"/>
    <m/>
    <s v="https://jicheng.tw/tcm/book/%e5%82%b7%e5%af%92%e8%ab%96%e8%a8%bb%e4%be%86%e8%98%87%e9%9b%86/index.html"/>
  </r>
  <r>
    <x v="5"/>
    <x v="19"/>
    <x v="3"/>
    <s v="傷寒論条弁"/>
    <s v="傷寒論條辨"/>
    <s v="方有執"/>
    <x v="5"/>
    <n v="1592"/>
    <m/>
    <s v="https://jicheng.tw/tcm/book/%e5%82%b7%e5%af%92%e8%ab%96%e6%a2%9d%e8%be%a8/index.html"/>
  </r>
  <r>
    <x v="5"/>
    <x v="19"/>
    <x v="3"/>
    <s v="傷寒論条弁_1"/>
    <s v="傷寒論條辨_1"/>
    <s v="方有執"/>
    <x v="5"/>
    <n v="1592"/>
    <m/>
    <s v="https://jicheng.tw/tcm/book/%e5%82%b7%e5%af%92%e8%ab%96%e6%a2%9d%e8%be%a8%5f%31/index.html"/>
  </r>
  <r>
    <x v="5"/>
    <x v="19"/>
    <x v="3"/>
    <s v="傷寒懸解"/>
    <s v="傷寒懸解"/>
    <s v="黃玉璐"/>
    <x v="3"/>
    <n v="1748"/>
    <m/>
    <s v="https://jicheng.tw/tcm/book/%e5%82%b7%e5%af%92%e6%87%b8%e8%a7%a3/index.html"/>
  </r>
  <r>
    <x v="5"/>
    <x v="19"/>
    <x v="3"/>
    <s v="傷寒論綱目"/>
    <s v="傷寒論綱目"/>
    <s v="沈金鰲"/>
    <x v="3"/>
    <n v="1774"/>
    <m/>
    <s v="https://jicheng.tw/tcm/book/%e5%82%b7%e5%af%92%e8%ab%96%e7%b6%b1%e7%9b%ae/index.html"/>
  </r>
  <r>
    <x v="5"/>
    <x v="19"/>
    <x v="3"/>
    <s v="傷寒論輯義"/>
    <s v="傷寒論輯義"/>
    <s v="丹波元簡"/>
    <x v="1"/>
    <m/>
    <m/>
    <s v="https://jicheng.tw/tcm/book/%e5%82%b7%e5%af%92%e8%ab%96%e8%bc%af%e7%be%a9/index.html"/>
  </r>
  <r>
    <x v="5"/>
    <x v="19"/>
    <x v="3"/>
    <s v="傷寒貫珠集"/>
    <s v="傷寒貫珠集"/>
    <s v="尤怡"/>
    <x v="3"/>
    <n v="1729"/>
    <m/>
    <s v="https://jicheng.tw/tcm/book/%e5%82%b7%e5%af%92%e8%b2%ab%e7%8f%a0%e9%9b%86/index.html"/>
  </r>
  <r>
    <x v="5"/>
    <x v="19"/>
    <x v="3"/>
    <s v="傷寒貫珠集_1"/>
    <s v="傷寒貫珠集_1"/>
    <s v="尤怡"/>
    <x v="3"/>
    <n v="1729"/>
    <m/>
    <s v="https://jicheng.tw/tcm/book/%e5%82%b7%e5%af%92%e8%b2%ab%e7%8f%a0%e9%9b%86%5f%31/index.html"/>
  </r>
  <r>
    <x v="5"/>
    <x v="19"/>
    <x v="3"/>
    <s v="傷寒纘論"/>
    <s v="傷寒纘論"/>
    <s v="張璐"/>
    <x v="3"/>
    <n v="1667"/>
    <m/>
    <s v="https://jicheng.tw/tcm/book/%e5%82%b7%e5%af%92%e7%ba%98%e8%ab%96/index.html"/>
  </r>
  <r>
    <x v="5"/>
    <x v="19"/>
    <x v="3"/>
    <s v="傷寒纘論_傷寒緒論"/>
    <s v="傷寒纘論_傷寒緒論"/>
    <s v="張璐"/>
    <x v="3"/>
    <n v="1667"/>
    <m/>
    <s v="https://jicheng.tw/tcm/book/%e5%82%b7%e5%af%92%e7%ba%98%e8%ab%96%5f%e5%82%b7%e5%af%92%e7%b7%92%e8%ab%96/index.html"/>
  </r>
  <r>
    <x v="5"/>
    <x v="19"/>
    <x v="3"/>
    <s v="傷寒緒論_1"/>
    <s v="傷寒緒論_1"/>
    <s v="張璐"/>
    <x v="3"/>
    <n v="1667"/>
    <m/>
    <s v="https://jicheng.tw/tcm/book/%e5%82%b7%e5%af%92%e7%b7%92%e8%ab%96%5f%31/index.html"/>
  </r>
  <r>
    <x v="5"/>
    <x v="19"/>
    <x v="3"/>
    <s v="医宗金鑑·訂正仲景全書傷寒論註"/>
    <s v="醫宗金鑑·訂正仲景全書傷寒論註"/>
    <s v="吳謙等"/>
    <x v="3"/>
    <n v="1742"/>
    <m/>
    <s v="https://jicheng.tw/tcm/book/%E9%86%AB%E5%AE%97%E9%87%91%E9%91%91/%E8%A8%82%E6%AD%A3%E4%BB%B2%E6%99%AF%E5%85%A8%E6%9B%B8%E5%82%B7%E5%AF%92%E8%AB%96%E8%A8%BB/index.html"/>
  </r>
  <r>
    <x v="5"/>
    <x v="19"/>
    <x v="3"/>
    <s v="傷寒経解"/>
    <s v="傷寒經解"/>
    <m/>
    <x v="1"/>
    <m/>
    <m/>
    <s v="https://jicheng.tw/tcm/book/%e5%82%b7%e5%af%92%e7%b6%93%e8%a7%a3/index.html"/>
  </r>
  <r>
    <x v="5"/>
    <x v="19"/>
    <x v="3"/>
    <s v="傷寒論彙註精華"/>
    <s v="傷寒論彙註精華"/>
    <m/>
    <x v="1"/>
    <m/>
    <m/>
    <s v="https://jicheng.tw/tcm/book/%e5%82%b7%e5%af%92%e8%ab%96%e5%bd%99%e8%a8%bb%e7%b2%be%e8%8f%af/index.html"/>
  </r>
  <r>
    <x v="5"/>
    <x v="19"/>
    <x v="3"/>
    <s v="傷寒論集成"/>
    <s v="傷寒論集成"/>
    <s v="山田正珍"/>
    <x v="3"/>
    <n v="1789"/>
    <m/>
    <s v="https://jicheng.tw/tcm/book/%e5%82%b7%e5%af%92%e8%ab%96%e9%9b%86%e6%88%90/index.html"/>
  </r>
  <r>
    <x v="5"/>
    <x v="19"/>
    <x v="3"/>
    <s v="尚論篇"/>
    <s v="尚論篇"/>
    <s v="喻昌"/>
    <x v="3"/>
    <n v="1648"/>
    <m/>
    <s v="https://jicheng.tw/tcm/book/%e5%b0%9a%e8%ab%96%e7%af%87/index.html"/>
  </r>
  <r>
    <x v="5"/>
    <x v="19"/>
    <x v="3"/>
    <s v="尚論後篇"/>
    <s v="尚論後篇"/>
    <s v="喻昌"/>
    <x v="3"/>
    <n v="1648"/>
    <m/>
    <s v="https://jicheng.tw/tcm/book/%e5%b0%9a%e8%ab%96%e5%be%8c%e7%af%87/index.html"/>
  </r>
  <r>
    <x v="5"/>
    <x v="19"/>
    <x v="3"/>
    <s v="傷寒論浅註補正"/>
    <s v="傷寒論淺註補正"/>
    <s v="漢·張仲景撰，清·陳修園淺注，唐容川補正"/>
    <x v="3"/>
    <n v="1894"/>
    <m/>
    <s v="https://jicheng.tw/tcm/book/%e5%82%b7%e5%af%92%e8%ab%96%e6%b7%ba%e8%a8%bb%e8%a3%9c%e6%ad%a3/index.html"/>
  </r>
  <r>
    <x v="5"/>
    <x v="19"/>
    <x v="3"/>
    <s v="傷寒論浅註補正_1"/>
    <s v="傷寒論淺註補正_1"/>
    <m/>
    <x v="1"/>
    <m/>
    <m/>
    <s v="https://jicheng.tw/tcm/book/%e5%82%b7%e5%af%92%e8%ab%96%e6%b7%ba%e8%a8%bb%e8%a3%9c%e6%ad%a3%5f%31/index.html"/>
  </r>
  <r>
    <x v="5"/>
    <x v="19"/>
    <x v="3"/>
    <s v="傷寒之研究"/>
    <s v="傷寒之研究"/>
    <s v="中西惟忠"/>
    <x v="1"/>
    <m/>
    <m/>
    <s v="https://jicheng.tw/tcm/book/%e5%82%b7%e5%af%92%e4%b9%8b%e7%a0%94%e7%a9%b6/index.html"/>
  </r>
  <r>
    <x v="5"/>
    <x v="19"/>
    <x v="3"/>
    <s v="傷寒論読"/>
    <s v="傷寒論讀"/>
    <s v="沈又彭"/>
    <x v="3"/>
    <n v="1765"/>
    <m/>
    <s v="https://jicheng.tw/tcm/book/%e5%82%b7%e5%af%92%e8%ab%96%e8%ae%80/index.html"/>
  </r>
  <r>
    <x v="5"/>
    <x v="19"/>
    <x v="3"/>
    <s v="增訂通俗傷寒論"/>
    <s v="增訂通俗傷寒論"/>
    <s v="何廉臣"/>
    <x v="11"/>
    <n v="1934"/>
    <m/>
    <s v="https://jicheng.tw/tcm/book/%e5%a2%9e%e8%a8%82%e9%80%9a%e4%bf%97%e5%82%b7%e5%af%92%e8%ab%96/index.html"/>
  </r>
  <r>
    <x v="5"/>
    <x v="19"/>
    <x v="3"/>
    <s v="傷寒指掌"/>
    <s v="傷寒指掌"/>
    <s v="吳坤安"/>
    <x v="3"/>
    <n v="1796"/>
    <m/>
    <s v="https://jicheng.tw/tcm/book/%e5%82%b7%e5%af%92%e6%8c%87%e6%8e%8c/index.html"/>
  </r>
  <r>
    <x v="5"/>
    <x v="19"/>
    <x v="3"/>
    <s v="傷寒附翼"/>
    <s v="傷寒附翼"/>
    <s v="柯琴"/>
    <x v="3"/>
    <n v="1674"/>
    <m/>
    <s v="https://jicheng.tw/tcm/book/%e5%82%b7%e5%af%92%e9%99%84%e7%bf%bc/index.html"/>
  </r>
  <r>
    <x v="5"/>
    <x v="19"/>
    <x v="3"/>
    <s v="河間傷寒心要"/>
    <s v="河間傷寒心要"/>
    <s v="鎦洪"/>
    <x v="6"/>
    <s v="1127-1279"/>
    <m/>
    <s v="https://jicheng.tw/tcm/book/%e6%b2%b3%e9%96%93%e5%82%b7%e5%af%92%e5%bf%83%e8%a6%81/index.html"/>
  </r>
  <r>
    <x v="5"/>
    <x v="19"/>
    <x v="3"/>
    <s v="傷寒心要_1"/>
    <s v="傷寒心要_1"/>
    <s v="劉完素"/>
    <x v="6"/>
    <n v="1234"/>
    <m/>
    <s v="https://jicheng.tw/tcm/book/%e5%82%b7%e5%af%92%e5%bf%83%e8%a6%81%5f%31/index.html"/>
  </r>
  <r>
    <x v="5"/>
    <x v="19"/>
    <x v="3"/>
    <s v="傷寒捷訣"/>
    <s v="傷寒捷訣"/>
    <s v="嚴則庵纂輯，裘慶元輯"/>
    <x v="3"/>
    <n v="1908"/>
    <m/>
    <s v="https://jicheng.tw/tcm/book/%e5%82%b7%e5%af%92%e6%8d%b7%e8%a8%a3/index.html"/>
  </r>
  <r>
    <x v="5"/>
    <x v="19"/>
    <x v="3"/>
    <s v="重訂通俗傷寒論"/>
    <s v="重訂通俗傷寒論"/>
    <s v="俞根初撰，何廉臣重訂"/>
    <x v="3"/>
    <n v="1916"/>
    <m/>
    <s v="https://jicheng.tw/tcm/book/%e9%87%8d%e8%a8%82%e9%80%9a%e4%bf%97%e5%82%b7%e5%af%92%e8%ab%96/index.html"/>
  </r>
  <r>
    <x v="5"/>
    <x v="19"/>
    <x v="3"/>
    <s v="劉河間傷寒医鑑"/>
    <s v="劉河間傷寒醫鑑"/>
    <s v="馬宗素"/>
    <x v="4"/>
    <n v="1233"/>
    <m/>
    <s v="https://jicheng.tw/tcm/book/%e5%8a%89%e6%b2%b3%e9%96%93%e5%82%b7%e5%af%92%e9%86%ab%e9%91%91/index.html"/>
  </r>
  <r>
    <x v="5"/>
    <x v="19"/>
    <x v="3"/>
    <s v="傷寒六書"/>
    <s v="傷寒六書"/>
    <s v="陶華"/>
    <x v="5"/>
    <n v="1445"/>
    <m/>
    <s v="https://jicheng.tw/tcm/book/%e5%82%b7%e5%af%92%e5%85%ad%e6%9b%b8/index.html"/>
  </r>
  <r>
    <x v="5"/>
    <x v="19"/>
    <x v="3"/>
    <s v="傷寒尋源"/>
    <s v="傷寒尋源"/>
    <s v="呂震名"/>
    <x v="3"/>
    <n v="1850"/>
    <m/>
    <s v="https://jicheng.tw/tcm/book/%e5%82%b7%e5%af%92%e5%b0%8b%e6%ba%90/index.html"/>
  </r>
  <r>
    <x v="5"/>
    <x v="19"/>
    <x v="3"/>
    <s v="傷寒明理論"/>
    <s v="傷寒明理論"/>
    <s v="成無己"/>
    <x v="2"/>
    <n v="1142"/>
    <m/>
    <s v="https://jicheng.tw/tcm/book/%e5%82%b7%e5%af%92%e6%98%8e%e7%90%86%e8%ab%96/index.html"/>
  </r>
  <r>
    <x v="5"/>
    <x v="19"/>
    <x v="3"/>
    <s v="傷寒明理論_1"/>
    <s v="傷寒明理論_1"/>
    <s v="成無己"/>
    <x v="6"/>
    <n v="1142"/>
    <m/>
    <s v="https://jicheng.tw/tcm/book/%e5%82%b7%e5%af%92%e6%98%8e%e7%90%86%e8%ab%96%5f%31/index.html"/>
  </r>
  <r>
    <x v="5"/>
    <x v="19"/>
    <x v="3"/>
    <s v="傷寒括要"/>
    <s v="傷寒括要"/>
    <s v="李中梓"/>
    <x v="5"/>
    <n v="1649"/>
    <m/>
    <s v="https://jicheng.tw/tcm/book/%e5%82%b7%e5%af%92%e6%8b%ac%e8%a6%81/index.html"/>
  </r>
  <r>
    <x v="5"/>
    <x v="19"/>
    <x v="3"/>
    <s v="傷寒法祖"/>
    <s v="傷寒法祖"/>
    <s v="柯琴著，後人據任越庵手抄本刊行"/>
    <x v="3"/>
    <n v="1842"/>
    <m/>
    <s v="https://jicheng.tw/tcm/book/%e5%82%b7%e5%af%92%e6%b3%95%e7%a5%96/index.html"/>
  </r>
  <r>
    <x v="5"/>
    <x v="19"/>
    <x v="3"/>
    <s v="傷寒補例"/>
    <s v="傷寒補例"/>
    <s v="周學海"/>
    <x v="3"/>
    <n v="1905"/>
    <m/>
    <s v="https://jicheng.tw/tcm/book/%e5%82%b7%e5%af%92%e8%a3%9c%e4%be%8b/index.html"/>
  </r>
  <r>
    <x v="5"/>
    <x v="19"/>
    <x v="3"/>
    <s v="傷寒九十論"/>
    <s v="傷寒九十論"/>
    <s v="許叔微述"/>
    <x v="2"/>
    <n v="1132"/>
    <m/>
    <s v="https://jicheng.tw/tcm/book/%e5%82%b7%e5%af%92%e4%b9%9d%e5%8d%81%e8%ab%96/index.html"/>
  </r>
  <r>
    <x v="5"/>
    <x v="19"/>
    <x v="3"/>
    <s v="傷寒論弁証広註"/>
    <s v="傷寒論辯證廣註"/>
    <s v="汪琥"/>
    <x v="3"/>
    <n v="1680"/>
    <m/>
    <s v="https://jicheng.tw/tcm/book/%e5%82%b7%e5%af%92%e8%ab%96%e8%be%af%e8%ad%89%e5%bb%a3%e8%a8%bb/index.html"/>
  </r>
  <r>
    <x v="5"/>
    <x v="19"/>
    <x v="3"/>
    <s v="中寒論弁証広註"/>
    <s v="中寒論辯證廣註"/>
    <s v="汪琥"/>
    <x v="3"/>
    <n v="1680"/>
    <m/>
    <s v="https://jicheng.tw/tcm/book/%e4%b8%ad%e5%af%92%e8%ab%96%e8%be%af%e8%ad%89%e5%bb%a3%e8%a8%bb/index.html"/>
  </r>
  <r>
    <x v="5"/>
    <x v="19"/>
    <x v="3"/>
    <s v="傷寒大白"/>
    <s v="傷寒大白"/>
    <s v="秦之楨"/>
    <x v="3"/>
    <n v="1714"/>
    <m/>
    <s v="https://jicheng.tw/tcm/book/%e5%82%b7%e5%af%92%e5%a4%a7%e7%99%bd/index.html"/>
  </r>
  <r>
    <x v="5"/>
    <x v="19"/>
    <x v="3"/>
    <s v="傷寒鈐法"/>
    <s v="傷寒鈐法"/>
    <s v="馬宗素"/>
    <x v="4"/>
    <n v="1327"/>
    <m/>
    <s v="https://jicheng.tw/tcm/book/%e5%82%b7%e5%af%92%e9%88%90%e6%b3%95/index.html"/>
  </r>
  <r>
    <x v="5"/>
    <x v="19"/>
    <x v="3"/>
    <s v="傷寒総病論"/>
    <s v="傷寒總病論"/>
    <s v="龐安石"/>
    <x v="2"/>
    <n v="1084"/>
    <m/>
    <s v="https://jicheng.tw/tcm/book/%e5%82%b7%e5%af%92%e7%b8%bd%e7%97%85%e8%ab%96/index.html"/>
  </r>
  <r>
    <x v="5"/>
    <x v="19"/>
    <x v="3"/>
    <s v="傷寒総病論_1"/>
    <s v="傷寒總病論_1"/>
    <s v="龐安石"/>
    <x v="2"/>
    <m/>
    <m/>
    <s v="https://jicheng.tw/tcm/book/%e5%82%b7%e5%af%92%e7%b8%bd%e7%97%85%e8%ab%96%5f%31/index.html"/>
  </r>
  <r>
    <x v="5"/>
    <x v="19"/>
    <x v="3"/>
    <s v="傷寒瘟疫条弁"/>
    <s v="傷寒瘟疫條辨"/>
    <s v="楊濬"/>
    <x v="3"/>
    <n v="1784"/>
    <m/>
    <s v="https://jicheng.tw/tcm/book/%e5%82%b7%e5%af%92%e7%98%9f%e7%96%ab%e6%a2%9d%e8%be%a8/index.html"/>
  </r>
  <r>
    <x v="5"/>
    <x v="19"/>
    <x v="3"/>
    <s v="傷寒広要"/>
    <s v="傷寒廣要"/>
    <s v="丹波元堅"/>
    <x v="3"/>
    <m/>
    <m/>
    <s v="https://jicheng.tw/tcm/book/%e5%82%b7%e5%af%92%e5%bb%a3%e8%a6%81/index.html"/>
  </r>
  <r>
    <x v="5"/>
    <x v="19"/>
    <x v="3"/>
    <s v="傷寒論綱要"/>
    <s v="傷寒論綱要"/>
    <s v="橘南谿"/>
    <x v="1"/>
    <m/>
    <m/>
    <s v="https://jicheng.tw/tcm/book/%e5%82%b7%e5%af%92%e8%ab%96%e7%b6%b1%e8%a6%81/index.html"/>
  </r>
  <r>
    <x v="5"/>
    <x v="19"/>
    <x v="3"/>
    <s v="傷寒論述義"/>
    <s v="傷寒論述義"/>
    <s v="丹波元堅"/>
    <x v="3"/>
    <n v="1827"/>
    <m/>
    <s v="https://jicheng.tw/tcm/book/%e5%82%b7%e5%af%92%e8%ab%96%e8%bf%b0%e7%be%a9/index.html"/>
  </r>
  <r>
    <x v="5"/>
    <x v="19"/>
    <x v="3"/>
    <s v="傷寒説意"/>
    <s v="傷寒說意"/>
    <s v="黃玉璐"/>
    <x v="3"/>
    <n v="1754"/>
    <m/>
    <s v="https://jicheng.tw/tcm/book/%e5%82%b7%e5%af%92%e8%aa%aa%e6%84%8f/index.html"/>
  </r>
  <r>
    <x v="5"/>
    <x v="19"/>
    <x v="3"/>
    <s v="感症宝筏"/>
    <s v="感症寶筏"/>
    <m/>
    <x v="1"/>
    <m/>
    <m/>
    <s v="https://jicheng.tw/tcm/book/%e6%84%9f%e7%97%87%e5%af%b6%e7%ad%8f/index.html"/>
  </r>
  <r>
    <x v="5"/>
    <x v="19"/>
    <x v="3"/>
    <s v="傷寒心鏡別集"/>
    <s v="傷寒心鏡別集"/>
    <s v="張從正"/>
    <x v="6"/>
    <m/>
    <s v="睢州考城（今河南蘭考縣）"/>
    <s v="https://jicheng.tw/tcm/book/%e5%82%b7%e5%af%92%e5%bf%83%e9%8f%a1%e5%88%a5%e9%9b%86/index.html"/>
  </r>
  <r>
    <x v="5"/>
    <x v="19"/>
    <x v="3"/>
    <s v="傷寒兼証析義"/>
    <s v="傷寒兼證析義"/>
    <s v="張倬"/>
    <x v="3"/>
    <n v="1667"/>
    <m/>
    <s v="https://jicheng.tw/tcm/book/%e5%82%b7%e5%af%92%e5%85%bc%e8%ad%89%e6%9e%90%e7%be%a9/index.html"/>
  </r>
  <r>
    <x v="5"/>
    <x v="19"/>
    <x v="3"/>
    <s v="傷寒弁要箋記"/>
    <s v="傷寒辨要箋記"/>
    <s v="程門雪"/>
    <x v="1"/>
    <m/>
    <s v="原著 淺田惟常"/>
    <s v="https://jicheng.tw/tcm/book/%e5%82%b7%e5%af%92%e8%be%a8%e8%a6%81%e7%ae%8b%e8%a8%98/index.html"/>
  </r>
  <r>
    <x v="5"/>
    <x v="19"/>
    <x v="3"/>
    <s v="皇漢医学 ***"/>
    <s v="皇漢醫學 ***"/>
    <s v="湯本求真"/>
    <x v="1"/>
    <n v="1927"/>
    <s v="桂枝湯之腹證及後未校"/>
    <m/>
  </r>
  <r>
    <x v="5"/>
    <x v="19"/>
    <x v="3"/>
    <s v="傷寒恒論"/>
    <s v="傷寒恆論"/>
    <s v="鄭壽全"/>
    <x v="3"/>
    <n v="1869"/>
    <m/>
    <s v="https://jicheng.tw/tcm/book/%e5%82%b7%e5%af%92%e6%81%86%e8%ab%96/index.html"/>
  </r>
  <r>
    <x v="5"/>
    <x v="19"/>
    <x v="3"/>
    <s v="傷寒百証歌"/>
    <s v="傷寒百證歌"/>
    <s v="許叔微"/>
    <x v="2"/>
    <s v="1080-1154"/>
    <m/>
    <s v="https://jicheng.tw/tcm/book/%e5%82%b7%e5%af%92%e7%99%be%e8%ad%89%e6%ad%8c/index.html"/>
  </r>
  <r>
    <x v="5"/>
    <x v="19"/>
    <x v="3"/>
    <s v="仲景傷寒補亡論"/>
    <s v="仲景傷寒補亡論"/>
    <s v="郭雍"/>
    <x v="2"/>
    <n v="1181"/>
    <m/>
    <s v="https://jicheng.tw/tcm/book/%e4%bb%b2%e6%99%af%e5%82%b7%e5%af%92%e8%a3%9c%e4%ba%a1%e8%ab%96/index.html"/>
  </r>
  <r>
    <x v="5"/>
    <x v="19"/>
    <x v="3"/>
    <s v="傷寒発微論"/>
    <s v="傷寒發微論"/>
    <s v="許叔微"/>
    <x v="2"/>
    <n v="1132"/>
    <m/>
    <s v="https://jicheng.tw/tcm/book/%e5%82%b7%e5%af%92%e7%99%bc%e5%be%ae%e8%ab%96/index.html"/>
  </r>
  <r>
    <x v="5"/>
    <x v="19"/>
    <x v="3"/>
    <s v="傷寒論類方"/>
    <s v="傷寒論類方"/>
    <s v="徐大椿"/>
    <x v="3"/>
    <n v="1759"/>
    <m/>
    <s v="https://jicheng.tw/tcm/book/%e5%82%b7%e5%af%92%e8%ab%96%e9%a1%9e%e6%96%b9/index.html"/>
  </r>
  <r>
    <x v="5"/>
    <x v="19"/>
    <x v="3"/>
    <s v="傷寒論類方_1"/>
    <s v="傷寒論類方_1"/>
    <s v="徐大椿"/>
    <x v="3"/>
    <m/>
    <m/>
    <s v="https://jicheng.tw/tcm/book/%e5%82%b7%e5%af%92%e8%ab%96%e9%a1%9e%e6%96%b9%5f%31/index.html"/>
  </r>
  <r>
    <x v="5"/>
    <x v="19"/>
    <x v="3"/>
    <s v="傷寒審証表"/>
    <s v="傷寒審證表"/>
    <s v="包誠"/>
    <x v="3"/>
    <n v="1870"/>
    <m/>
    <s v="https://jicheng.tw/tcm/book/%e5%82%b7%e5%af%92%e5%af%a9%e8%ad%89%e8%a1%a8/index.html"/>
  </r>
  <r>
    <x v="5"/>
    <x v="19"/>
    <x v="3"/>
    <s v="傷寒医訣串解"/>
    <s v="傷寒醫訣串解"/>
    <s v="陳念祖"/>
    <x v="3"/>
    <n v="1803"/>
    <m/>
    <s v="https://jicheng.tw/tcm/book/%e5%82%b7%e5%af%92%e9%86%ab%e8%a8%a3%e4%b8%b2%e8%a7%a3/index.html"/>
  </r>
  <r>
    <x v="5"/>
    <x v="19"/>
    <x v="3"/>
    <s v="医宗金鑑·傷寒心法要訣"/>
    <s v="醫宗金鑑·傷寒心法要訣"/>
    <s v="吳謙等"/>
    <x v="3"/>
    <n v="1742"/>
    <m/>
    <s v="https://jicheng.tw/tcm/book/%e9%86%ab%e5%ae%97%e9%87%91%e9%91%91/%e5%82%b7%e5%af%92%e5%bf%83%e6%b3%95%e8%a6%81%e8%a8%a3/index.html"/>
  </r>
  <r>
    <x v="5"/>
    <x v="19"/>
    <x v="3"/>
    <s v="傷寒解毒療法"/>
    <s v="傷寒解毒療法"/>
    <m/>
    <x v="1"/>
    <m/>
    <m/>
    <s v="https://jicheng.tw/tcm/book/%e5%82%b7%e5%af%92%e8%a7%a3%e6%af%92%e7%99%82%e6%b3%95/index.html"/>
  </r>
  <r>
    <x v="5"/>
    <x v="19"/>
    <x v="3"/>
    <s v="傷寒用薬研究"/>
    <s v="傷寒用藥研究"/>
    <s v="川越正淑"/>
    <x v="1"/>
    <m/>
    <m/>
    <s v="https://jicheng.tw/tcm/book/%e5%82%b7%e5%af%92%e7%94%a8%e8%97%a5%e7%a0%94%e7%a9%b6/index.html"/>
  </r>
  <r>
    <x v="5"/>
    <x v="19"/>
    <x v="3"/>
    <s v="傷寒兼証析義"/>
    <s v="傷寒兼證析義"/>
    <s v="張倬"/>
    <x v="3"/>
    <n v="1667"/>
    <m/>
    <s v="https://jicheng.tw/tcm/book/%e5%82%b7%e5%af%92%e5%85%bc%e8%ad%89%e6%9e%90%e7%be%a9/index.html"/>
  </r>
  <r>
    <x v="5"/>
    <x v="19"/>
    <x v="3"/>
    <s v="傷寒論陽明病釈"/>
    <s v="傷寒論陽明病釋"/>
    <s v="陸懋修"/>
    <x v="3"/>
    <n v="1884"/>
    <m/>
    <s v="https://jicheng.tw/tcm/book/%e5%82%b7%e5%af%92%e8%ab%96%e9%99%bd%e6%98%8e%e7%97%85%e9%87%8b/index.html"/>
  </r>
  <r>
    <x v="5"/>
    <x v="19"/>
    <x v="3"/>
    <s v="傷寒摘錦"/>
    <s v="傷寒摘錦"/>
    <s v="萬全"/>
    <x v="5"/>
    <n v="1569"/>
    <m/>
    <s v="https://jicheng.tw/tcm/book/%e5%82%b7%e5%af%92%e6%91%98%e9%8c%a6/index.html"/>
  </r>
  <r>
    <x v="5"/>
    <x v="19"/>
    <x v="3"/>
    <s v="傷寒治例"/>
    <s v="傷寒治例"/>
    <s v="劉純"/>
    <x v="5"/>
    <n v="1396"/>
    <m/>
    <s v="https://jicheng.tw/tcm/book/%e5%82%b7%e5%af%92%e6%b2%bb%e4%be%8b/index.html"/>
  </r>
  <r>
    <x v="5"/>
    <x v="19"/>
    <x v="3"/>
    <s v="傷寒脈証式"/>
    <s v="傷寒脈證式"/>
    <s v="川越正淑"/>
    <x v="1"/>
    <m/>
    <m/>
    <s v="https://jicheng.tw/tcm/book/%e5%82%b7%e5%af%92%e8%84%88%e8%ad%89%e5%bc%8f/index.html"/>
  </r>
  <r>
    <x v="5"/>
    <x v="19"/>
    <x v="3"/>
    <s v="傷風約言"/>
    <s v="傷風約言"/>
    <s v="後藤省"/>
    <x v="3"/>
    <n v="1795"/>
    <m/>
    <s v="https://jicheng.tw/tcm/book/%e5%82%b7%e9%a2%a8%e7%b4%84%e8%a8%80/index.html"/>
  </r>
  <r>
    <x v="5"/>
    <x v="19"/>
    <x v="3"/>
    <s v="傷寒直指"/>
    <s v="傷寒直指"/>
    <s v="成無己"/>
    <x v="6"/>
    <n v="1156"/>
    <m/>
    <s v="https://jicheng.tw/tcm/book/%e5%82%b7%e5%af%92%e7%9b%b4%e6%8c%87/index.html"/>
  </r>
  <r>
    <x v="5"/>
    <x v="19"/>
    <x v="3"/>
    <s v="傷寒類書活人総括"/>
    <s v="傷寒類書活人總括"/>
    <s v="楊士瀛"/>
    <x v="9"/>
    <m/>
    <m/>
    <s v="https://jicheng.tw/tcm/book/%e5%82%b7%e5%af%92%e9%a1%9e%e6%9b%b8%e6%b4%bb%e4%ba%ba%e7%b8%bd%e6%8b%ac/index.html"/>
  </r>
  <r>
    <x v="5"/>
    <x v="19"/>
    <x v="3"/>
    <s v="類編傷寒活人書括指掌図論"/>
    <s v="類編傷寒活人書括指掌圖論"/>
    <s v="李知先著，熊宗立繪圖"/>
    <x v="5"/>
    <n v="1508"/>
    <m/>
    <s v="https://jicheng.tw/tcm/book/%e9%a1%9e%e7%b7%a8%e5%82%b7%e5%af%92%e6%b4%bb%e4%ba%ba%e6%9b%b8%e6%8b%ac%e6%8c%87%e6%8e%8c%e5%9c%96%e8%ab%96/index.html"/>
  </r>
  <r>
    <x v="5"/>
    <x v="19"/>
    <x v="3"/>
    <s v="傷寒論劉氏伝"/>
    <s v="傷寒論劉氏傳"/>
    <s v="劉棟田良"/>
    <x v="3"/>
    <n v="1772"/>
    <m/>
    <s v="https://jicheng.tw/tcm/book/%e5%82%b7%e5%af%92%e8%ab%96%e5%8a%89%e6%b0%8f%e5%82%b3/index.html"/>
  </r>
  <r>
    <x v="5"/>
    <x v="20"/>
    <x v="3"/>
    <s v="金匱要略方論 ****"/>
    <s v="金匱要略方論 ****"/>
    <s v="張機"/>
    <x v="21"/>
    <n v="219"/>
    <m/>
    <s v="https://jicheng.tw/tcm/book/%e9%87%91%e5%8c%b1%e8%a6%81%e7%95%a5%e6%96%b9%e8%ab%96/index.html"/>
  </r>
  <r>
    <x v="5"/>
    <x v="20"/>
    <x v="3"/>
    <s v="金匱玉函経"/>
    <s v="金匱玉函經"/>
    <s v="張機"/>
    <x v="21"/>
    <m/>
    <m/>
    <s v="https://jicheng.tw/tcm/book/%e9%87%91%e5%8c%b1%e7%8e%89%e5%87%bd%e7%b6%93/index.html"/>
  </r>
  <r>
    <x v="5"/>
    <x v="20"/>
    <x v="3"/>
    <s v="高註金匱要略"/>
    <s v="高註金匱要略"/>
    <s v="高學山"/>
    <x v="3"/>
    <n v="1872"/>
    <m/>
    <s v="https://jicheng.tw/tcm/book/%e9%ab%98%e8%a8%bb%e9%87%91%e5%8c%b1%e8%a6%81%e7%95%a5/index.html"/>
  </r>
  <r>
    <x v="5"/>
    <x v="20"/>
    <x v="3"/>
    <s v="金匱玉函要略輯義"/>
    <s v="金匱玉函要略輯義"/>
    <s v="丹波元簡"/>
    <x v="3"/>
    <n v="1806"/>
    <m/>
    <s v="https://jicheng.tw/tcm/book/%e9%87%91%e5%8c%b1%e7%8e%89%e5%87%bd%e8%a6%81%e7%95%a5%e8%bc%af%e7%be%a9/index.html"/>
  </r>
  <r>
    <x v="5"/>
    <x v="20"/>
    <x v="3"/>
    <s v="金匱玉函経二註"/>
    <s v="金匱玉函經二註"/>
    <s v="周揚俊"/>
    <x v="3"/>
    <n v="1687"/>
    <m/>
    <s v="https://jicheng.tw/tcm/book/%e9%87%91%e5%8c%b1%e7%8e%89%e5%87%bd%e7%b6%93%e4%ba%8c%e8%a8%bb/index.html"/>
  </r>
  <r>
    <x v="5"/>
    <x v="20"/>
    <x v="3"/>
    <s v="金匱要略方論本義"/>
    <s v="金匱要略方論本義"/>
    <s v="魏荔彤"/>
    <x v="3"/>
    <n v="1720"/>
    <m/>
    <s v="https://jicheng.tw/tcm/book/%e9%87%91%e5%8c%b1%e8%a6%81%e7%95%a5%e6%96%b9%e8%ab%96%e6%9c%ac%e7%be%a9/index.html"/>
  </r>
  <r>
    <x v="5"/>
    <x v="20"/>
    <x v="3"/>
    <s v="金匱玉函要略述義"/>
    <s v="金匱玉函要略述義"/>
    <s v="丹波元堅"/>
    <x v="3"/>
    <n v="1842"/>
    <m/>
    <s v="https://jicheng.tw/tcm/book/%e9%87%91%e5%8c%b1%e7%8e%89%e5%87%bd%e8%a6%81%e7%95%a5%e8%bf%b0%e7%be%a9/index.html"/>
  </r>
  <r>
    <x v="5"/>
    <x v="20"/>
    <x v="3"/>
    <s v="医宗金鑑·訂正仲景全書金匱要略註"/>
    <s v="醫宗金鑑·訂正仲景全書金匱要略註"/>
    <s v="吳謙等"/>
    <x v="3"/>
    <n v="1742"/>
    <m/>
    <s v="https://jicheng.tw/tcm/book/%e9%86%ab%e5%ae%97%e9%87%91%e9%91%91/%e8%a8%82%e6%ad%a3%e4%bb%b2%e6%99%af%e5%85%a8%e6%9b%b8%e9%87%91%e5%8c%b1%e8%a6%81%e7%95%a5%e8%a8%bb/index.html"/>
  </r>
  <r>
    <x v="5"/>
    <x v="20"/>
    <x v="3"/>
    <s v="金匱要略広註"/>
    <s v="金匱要略廣註"/>
    <s v="李彣"/>
    <x v="3"/>
    <n v="1682"/>
    <m/>
    <s v="https://jicheng.tw/tcm/book/%e9%87%91%e5%8c%b1%e8%a6%81%e7%95%a5%e5%bb%a3%e8%a8%bb/index.html"/>
  </r>
  <r>
    <x v="5"/>
    <x v="20"/>
    <x v="3"/>
    <s v="金匱懸解"/>
    <s v="金匱懸解"/>
    <s v="黃玉璐"/>
    <x v="3"/>
    <n v="1748"/>
    <m/>
    <s v="https://jicheng.tw/tcm/book/%e9%87%91%e5%8c%b1%e6%87%b8%e8%a7%a3/index.html"/>
  </r>
  <r>
    <x v="5"/>
    <x v="20"/>
    <x v="3"/>
    <s v="金匱要略心典"/>
    <s v="金匱要略心典"/>
    <s v="尤怡"/>
    <x v="3"/>
    <n v="1729"/>
    <m/>
    <s v="https://jicheng.tw/tcm/book/%e9%87%91%e5%8c%b1%e8%a6%81%e7%95%a5%e5%bf%83%e5%85%b8/index.html"/>
  </r>
  <r>
    <x v="5"/>
    <x v="20"/>
    <x v="3"/>
    <s v="金匱要略浅註"/>
    <s v="金匱要略淺註"/>
    <s v="陳念祖"/>
    <x v="3"/>
    <n v="1803"/>
    <m/>
    <s v="https://jicheng.tw/tcm/book/%e9%87%91%e5%8c%b1%e8%a6%81%e7%95%a5%e6%b7%ba%e8%a8%bb/index.html"/>
  </r>
  <r>
    <x v="5"/>
    <x v="20"/>
    <x v="3"/>
    <s v="金匱要略浅註補正"/>
    <s v="金匱要略淺註補正"/>
    <s v="漢·張仲景撰，清·陳修園淺注，唐容川補正，秦伯未重校"/>
    <x v="3"/>
    <n v="1893"/>
    <m/>
    <s v="https://jicheng.tw/tcm/book/%e9%87%91%e5%8c%b1%e8%a6%81%e7%95%a5%e6%b7%ba%e8%a8%bb%e8%a3%9c%e6%ad%a3/index.html"/>
  </r>
  <r>
    <x v="5"/>
    <x v="20"/>
    <x v="3"/>
    <s v="金匱要略論註"/>
    <s v="金匱要略論註"/>
    <s v="徐彬"/>
    <x v="3"/>
    <n v="1671"/>
    <m/>
    <s v="https://jicheng.tw/tcm/book/%e9%87%91%e5%8c%b1%e8%a6%81%e7%95%a5%e8%ab%96%e8%a8%bb/index.html"/>
  </r>
  <r>
    <x v="5"/>
    <x v="21"/>
    <x v="3"/>
    <s v="曹氏傷寒金匱発微合刊"/>
    <s v="曹氏傷寒金匱發微合刊"/>
    <s v="曹穎甫"/>
    <x v="3"/>
    <n v="1931"/>
    <m/>
    <s v="https://jicheng.tw/tcm/book/%e6%9b%b9%e6%b0%8f%e5%82%b7%e5%af%92%e9%87%91%e5%8c%b1%e7%99%bc%e5%be%ae%e5%90%88%e5%88%8a/index.html"/>
  </r>
  <r>
    <x v="6"/>
    <x v="3"/>
    <x v="3"/>
    <s v="温熱論 ****"/>
    <s v="溫熱論 ****"/>
    <s v="葉桂口述，門人顧景文等錄"/>
    <x v="3"/>
    <n v="1746"/>
    <m/>
    <s v="https://jicheng.tw/tcm/book/%e6%ba%ab%e7%86%b1%e8%ab%96/index.html"/>
  </r>
  <r>
    <x v="6"/>
    <x v="3"/>
    <x v="3"/>
    <s v="時病論"/>
    <s v="時病論"/>
    <s v="雷豐"/>
    <x v="3"/>
    <n v="1882"/>
    <m/>
    <s v="https://jicheng.tw/tcm/book/%e6%99%82%e7%97%85%e8%ab%96/index.html"/>
  </r>
  <r>
    <x v="6"/>
    <x v="3"/>
    <x v="3"/>
    <s v="時病論_1"/>
    <s v="時病論_1"/>
    <s v="雷豐"/>
    <x v="3"/>
    <m/>
    <m/>
    <s v="https://jicheng.tw/tcm/book/%e6%99%82%e7%97%85%e8%ab%96%5f%31/index.html"/>
  </r>
  <r>
    <x v="6"/>
    <x v="3"/>
    <x v="3"/>
    <s v="温熱逢源"/>
    <s v="溫熱逢源"/>
    <s v="柳寶詒"/>
    <x v="3"/>
    <n v="1900"/>
    <m/>
    <s v="https://jicheng.tw/tcm/book/%e6%ba%ab%e7%86%b1%e9%80%a2%e6%ba%90/index.html"/>
  </r>
  <r>
    <x v="6"/>
    <x v="3"/>
    <x v="3"/>
    <s v="温熱逢源_1"/>
    <s v="溫熱逢源_1"/>
    <s v="柳寶詒"/>
    <x v="3"/>
    <m/>
    <m/>
    <s v="https://jicheng.tw/tcm/book/%e6%ba%ab%e7%86%b1%e9%80%a2%e6%ba%90%5f%31/index.html"/>
  </r>
  <r>
    <x v="6"/>
    <x v="3"/>
    <x v="3"/>
    <s v="温疫論"/>
    <s v="溫疫論"/>
    <s v="吳有性"/>
    <x v="5"/>
    <n v="1642"/>
    <m/>
    <s v="https://jicheng.tw/tcm/book/%e6%ba%ab%e7%96%ab%e8%ab%96/index.html"/>
  </r>
  <r>
    <x v="6"/>
    <x v="3"/>
    <x v="3"/>
    <s v="温疫論_1"/>
    <s v="溫疫論_1"/>
    <s v="吳有性"/>
    <x v="5"/>
    <m/>
    <m/>
    <s v="https://jicheng.tw/tcm/book/%e6%ba%ab%e7%96%ab%e8%ab%96%5f%31/index.html"/>
  </r>
  <r>
    <x v="6"/>
    <x v="3"/>
    <x v="3"/>
    <s v="增訂葉評傷暑全書"/>
    <s v="增訂葉評傷暑全書"/>
    <s v="張鳳逵"/>
    <x v="5"/>
    <m/>
    <m/>
    <s v="https://jicheng.tw/tcm/book/%e5%a2%9e%e8%a8%82%e8%91%89%e8%a9%95%e5%82%b7%e6%9a%91%e5%85%a8%e6%9b%b8/index.html"/>
  </r>
  <r>
    <x v="6"/>
    <x v="3"/>
    <x v="3"/>
    <s v="重訂広温熱論"/>
    <s v="重訂廣溫熱論"/>
    <s v="戴天章撰，陸懋修刪補，何廉臣重訂"/>
    <x v="3"/>
    <n v="1911"/>
    <m/>
    <s v="https://jicheng.tw/tcm/book/%e9%87%8d%e8%a8%82%e5%bb%a3%e6%ba%ab%e7%86%b1%e8%ab%96/index.html"/>
  </r>
  <r>
    <x v="6"/>
    <x v="3"/>
    <x v="3"/>
    <s v="温病指南"/>
    <s v="溫病指南"/>
    <s v="婁傑"/>
    <x v="3"/>
    <n v="1903"/>
    <m/>
    <s v="https://jicheng.tw/tcm/book/%e6%ba%ab%e7%97%85%e6%8c%87%e5%8d%97/index.html"/>
  </r>
  <r>
    <x v="6"/>
    <x v="3"/>
    <x v="3"/>
    <s v="温熱経緯"/>
    <s v="溫熱經緯"/>
    <s v="王士雄"/>
    <x v="3"/>
    <n v="1852"/>
    <m/>
    <s v="https://jicheng.tw/tcm/book/%e6%ba%ab%e7%86%b1%e7%b6%93%e7%b7%af/index.html"/>
  </r>
  <r>
    <x v="6"/>
    <x v="3"/>
    <x v="3"/>
    <s v="三時伏気外感篇_1"/>
    <s v="三時伏氣外感篇_1"/>
    <s v="葉桂"/>
    <x v="3"/>
    <m/>
    <m/>
    <s v="https://jicheng.tw/tcm/book/%e4%b8%89%e6%99%82%e4%bc%8f%e6%b0%a3%e5%a4%96%e6%84%9f%e7%af%87%5f%31/index.html"/>
  </r>
  <r>
    <x v="6"/>
    <x v="3"/>
    <x v="3"/>
    <s v="外感温病篇_1"/>
    <s v="外感溫病篇_1"/>
    <s v="陳平伯"/>
    <x v="3"/>
    <m/>
    <m/>
    <s v="https://jicheng.tw/tcm/book/%e5%a4%96%e6%84%9f%e6%ba%ab%e7%97%85%e7%af%87%5f%31/index.html"/>
  </r>
  <r>
    <x v="6"/>
    <x v="3"/>
    <x v="3"/>
    <s v="湿熱病篇_1"/>
    <s v="濕熱病篇_1"/>
    <s v="薛雪"/>
    <x v="3"/>
    <m/>
    <m/>
    <s v="https://jicheng.tw/tcm/book/%e6%bf%95%e7%86%b1%e7%97%85%e7%af%87%5f%31/index.html"/>
  </r>
  <r>
    <x v="6"/>
    <x v="3"/>
    <x v="3"/>
    <s v="温病条弁"/>
    <s v="溫病條辨"/>
    <s v="吳塘"/>
    <x v="3"/>
    <n v="1798"/>
    <m/>
    <s v="https://jicheng.tw/tcm/book/%e6%ba%ab%e7%97%85%e6%a2%9d%e8%be%a8/index.html"/>
  </r>
  <r>
    <x v="6"/>
    <x v="3"/>
    <x v="3"/>
    <s v="温病条弁_1"/>
    <s v="溫病條辨_1"/>
    <s v="吳塘"/>
    <x v="3"/>
    <m/>
    <m/>
    <s v="https://jicheng.tw/tcm/book/%e6%ba%ab%e7%97%85%e6%a2%9d%e8%be%a8%5f%31/index.html"/>
  </r>
  <r>
    <x v="6"/>
    <x v="3"/>
    <x v="3"/>
    <s v="温病条弁_条列版"/>
    <s v="溫病條辨_條列版"/>
    <m/>
    <x v="1"/>
    <m/>
    <m/>
    <s v="https://jicheng.tw/tcm/book/%e6%ba%ab%e7%97%85%e6%a2%9d%e8%be%a8%5f%e6%a2%9d%e5%88%97%e7%89%88/index.html"/>
  </r>
  <r>
    <x v="6"/>
    <x v="3"/>
    <x v="3"/>
    <s v="温病正宗"/>
    <s v="溫病正宗"/>
    <s v="王德宣"/>
    <x v="11"/>
    <n v="1935"/>
    <m/>
    <s v="https://jicheng.tw/tcm/book/%e6%ba%ab%e7%97%85%e6%ad%a3%e5%ae%97/index.html"/>
  </r>
  <r>
    <x v="6"/>
    <x v="3"/>
    <x v="3"/>
    <s v="重訂温熱経解"/>
    <s v="重訂溫熱經解"/>
    <s v="沈麟"/>
    <x v="11"/>
    <m/>
    <m/>
    <s v="https://jicheng.tw/tcm/book/%e9%87%8d%e8%a8%82%e6%ba%ab%e7%86%b1%e7%b6%93%e8%a7%a3/index.html"/>
  </r>
  <r>
    <x v="6"/>
    <x v="3"/>
    <x v="3"/>
    <s v="医寄伏陰論"/>
    <s v="醫寄伏陰論"/>
    <s v="田宗漢"/>
    <x v="3"/>
    <n v="1888"/>
    <m/>
    <s v="https://jicheng.tw/tcm/book/%e9%86%ab%e5%af%84%e4%bc%8f%e9%99%b0%e8%ab%96/index.html"/>
  </r>
  <r>
    <x v="6"/>
    <x v="3"/>
    <x v="3"/>
    <s v="薛氏湿熱論歌訣"/>
    <s v="薛氏濕熱論歌訣"/>
    <s v="王旭高"/>
    <x v="3"/>
    <n v="1862"/>
    <m/>
    <s v="https://jicheng.tw/tcm/book/%e8%96%9b%e6%b0%8f%e6%bf%95%e7%86%b1%e8%ab%96%e6%ad%8c%e8%a8%a3/index.html"/>
  </r>
  <r>
    <x v="6"/>
    <x v="3"/>
    <x v="3"/>
    <s v="温熱論箋正"/>
    <s v="溫熱論箋正"/>
    <s v="葉桂"/>
    <x v="3"/>
    <m/>
    <m/>
    <s v="https://jicheng.tw/tcm/book/%e6%ba%ab%e7%86%b1%e8%ab%96%e7%ae%8b%e6%ad%a3/index.html"/>
  </r>
  <r>
    <x v="6"/>
    <x v="3"/>
    <x v="3"/>
    <s v="六因条弁"/>
    <s v="六因條辨"/>
    <s v="陸子賢"/>
    <x v="3"/>
    <n v="1868"/>
    <m/>
    <s v="https://jicheng.tw/tcm/book/%e5%85%ad%e5%9b%a0%e6%a2%9d%e8%be%a8/index.html"/>
  </r>
  <r>
    <x v="6"/>
    <x v="3"/>
    <x v="3"/>
    <s v="六気感証要義"/>
    <s v="六氣感證要義"/>
    <s v="周岩"/>
    <x v="3"/>
    <n v="1898"/>
    <m/>
    <s v="https://jicheng.tw/tcm/book/%e5%85%ad%e6%b0%a3%e6%84%9f%e8%ad%89%e8%a6%81%e7%be%a9/index.html"/>
  </r>
  <r>
    <x v="6"/>
    <x v="3"/>
    <x v="3"/>
    <s v="温病弁症"/>
    <s v="溫病辨症"/>
    <s v="馬宗元"/>
    <x v="3"/>
    <m/>
    <m/>
    <s v="https://jicheng.tw/tcm/book/%e6%ba%ab%e7%97%85%e8%be%a8%e7%97%87/index.html"/>
  </r>
  <r>
    <x v="6"/>
    <x v="3"/>
    <x v="3"/>
    <s v="湿熱条弁"/>
    <s v="濕熱條辨"/>
    <s v="薛雪"/>
    <x v="3"/>
    <n v="1770"/>
    <m/>
    <s v="https://jicheng.tw/tcm/book/%e6%bf%95%e7%86%b1%e6%a2%9d%e8%be%a8/index.html"/>
  </r>
  <r>
    <x v="6"/>
    <x v="3"/>
    <x v="3"/>
    <s v="中西温熱串解"/>
    <s v="中西溫熱串解"/>
    <s v="吳瑞甫"/>
    <x v="11"/>
    <n v="1920"/>
    <m/>
    <s v="https://jicheng.tw/tcm/book/%e4%b8%ad%e8%a5%bf%e6%ba%ab%e7%86%b1%e4%b8%b2%e8%a7%a3/index.html"/>
  </r>
  <r>
    <x v="6"/>
    <x v="3"/>
    <x v="3"/>
    <s v="温疫論私評"/>
    <s v="溫疫論私評"/>
    <s v="秋吉質"/>
    <x v="1"/>
    <m/>
    <m/>
    <s v="https://jicheng.tw/tcm/book/%e6%ba%ab%e7%96%ab%e8%ab%96%e7%a7%81%e8%a9%95/index.html"/>
  </r>
  <r>
    <x v="6"/>
    <x v="3"/>
    <x v="3"/>
    <s v="広瘟疫論"/>
    <s v="廣瘟疫論"/>
    <s v="戴天章"/>
    <x v="3"/>
    <n v="1675"/>
    <m/>
    <s v="https://jicheng.tw/tcm/book/%e5%bb%a3%e7%98%9f%e7%96%ab%e8%ab%96/index.html"/>
  </r>
  <r>
    <x v="6"/>
    <x v="3"/>
    <x v="3"/>
    <s v="広瘟疫論_1"/>
    <s v="廣瘟疫論_1"/>
    <s v="戴天章"/>
    <x v="3"/>
    <m/>
    <m/>
    <s v="https://jicheng.tw/tcm/book/%e5%bb%a3%e7%98%9f%e7%96%ab%e8%ab%96%5f%31/index.html"/>
  </r>
  <r>
    <x v="6"/>
    <x v="3"/>
    <x v="3"/>
    <s v="呉又可温疫論歌括"/>
    <s v="吳又可溫疫論歌括"/>
    <s v="王旭高"/>
    <x v="3"/>
    <m/>
    <m/>
    <s v="https://jicheng.tw/tcm/book/%e5%90%b3%e5%8f%88%e5%8f%af%e6%ba%ab%e7%96%ab%e8%ab%96%e6%ad%8c%e6%8b%ac/index.html"/>
  </r>
  <r>
    <x v="6"/>
    <x v="3"/>
    <x v="3"/>
    <s v="温病之研究"/>
    <s v="溫病之研究"/>
    <s v="源元凱"/>
    <x v="1"/>
    <m/>
    <m/>
    <s v="https://jicheng.tw/tcm/book/%e6%ba%ab%e7%97%85%e4%b9%8b%e7%a0%94%e7%a9%b6/index.html"/>
  </r>
  <r>
    <x v="6"/>
    <x v="3"/>
    <x v="3"/>
    <s v="仿寓意草"/>
    <s v="仿寓意草"/>
    <s v="丹徒李文榮冠仙"/>
    <x v="3"/>
    <m/>
    <m/>
    <s v="https://jicheng.tw/tcm/book/%e4%bb%bf%e5%af%93%e6%84%8f%e8%8d%89/index.html"/>
  </r>
  <r>
    <x v="6"/>
    <x v="3"/>
    <x v="3"/>
    <s v="伏瘟証治実験談"/>
    <s v="伏瘟證治實驗談"/>
    <s v="蔣樹杞"/>
    <x v="11"/>
    <n v="1920"/>
    <m/>
    <s v="https://jicheng.tw/tcm/book/%e4%bc%8f%e7%98%9f%e8%ad%89%e6%b2%bb%e5%af%a6%e9%a9%97%e8%ab%87/index.html"/>
  </r>
  <r>
    <x v="6"/>
    <x v="3"/>
    <x v="3"/>
    <s v="伏邪新書"/>
    <s v="伏邪新書"/>
    <s v="劉吉人"/>
    <x v="3"/>
    <n v="1911"/>
    <m/>
    <s v="https://jicheng.tw/tcm/book/%e4%bc%8f%e9%82%aa%e6%96%b0%e6%9b%b8/index.html"/>
  </r>
  <r>
    <x v="6"/>
    <x v="3"/>
    <x v="3"/>
    <s v="南病別鑑"/>
    <s v="南病別鑑"/>
    <s v="宋兆淇"/>
    <x v="3"/>
    <n v="1878"/>
    <m/>
    <s v="https://jicheng.tw/tcm/book/%e5%8d%97%e7%97%85%e5%88%a5%e9%91%91/index.html"/>
  </r>
  <r>
    <x v="6"/>
    <x v="3"/>
    <x v="3"/>
    <s v="温証指帰"/>
    <s v="溫證指歸"/>
    <s v="周魁"/>
    <x v="3"/>
    <n v="1799"/>
    <m/>
    <s v="https://jicheng.tw/tcm/book/%e6%ba%ab%e8%ad%89%e6%8c%87%e6%ad%b8/index.html"/>
  </r>
  <r>
    <x v="6"/>
    <x v="3"/>
    <x v="3"/>
    <s v="疫疹一得"/>
    <s v="疫疹一得"/>
    <s v="余霖"/>
    <x v="3"/>
    <n v="1794"/>
    <m/>
    <s v="https://jicheng.tw/tcm/book/%e7%96%ab%e7%96%b9%e4%b8%80%e5%be%97/index.html"/>
  </r>
  <r>
    <x v="6"/>
    <x v="3"/>
    <x v="3"/>
    <s v="温熱暑疫全書"/>
    <s v="溫熱暑疫全書"/>
    <s v="周揚俊"/>
    <x v="3"/>
    <n v="1679"/>
    <m/>
    <s v="https://jicheng.tw/tcm/book/%e6%ba%ab%e7%86%b1%e6%9a%91%e7%96%ab%e5%85%a8%e6%9b%b8/index.html"/>
  </r>
  <r>
    <x v="6"/>
    <x v="3"/>
    <x v="3"/>
    <s v="温疫明弁歌訣"/>
    <s v="溫疫明辨歌訣"/>
    <s v="王旭高"/>
    <x v="3"/>
    <m/>
    <m/>
    <s v="https://jicheng.tw/tcm/book/%e6%ba%ab%e7%96%ab%e6%98%8e%e8%be%a8%e6%ad%8c%e8%a8%a3/index.html"/>
  </r>
  <r>
    <x v="6"/>
    <x v="3"/>
    <x v="3"/>
    <s v="湿温時疫治療法"/>
    <s v="濕溫時疫治療法"/>
    <s v="何廉臣"/>
    <x v="3"/>
    <m/>
    <m/>
    <s v="https://jicheng.tw/tcm/book/%e6%bf%95%e6%ba%ab%e6%99%82%e7%96%ab%e6%b2%bb%e7%99%82%e6%b3%95/index.html"/>
  </r>
  <r>
    <x v="6"/>
    <x v="3"/>
    <x v="3"/>
    <s v="弁疫瑣言"/>
    <s v="辨疫瑣言"/>
    <s v="李炳"/>
    <x v="3"/>
    <n v="1800"/>
    <m/>
    <s v="https://jicheng.tw/tcm/book/%e8%be%a8%e7%96%ab%e7%91%a3%e8%a8%80/index.html"/>
  </r>
  <r>
    <x v="6"/>
    <x v="3"/>
    <x v="3"/>
    <s v="鄒氏寒疫論"/>
    <s v="鄒氏寒疫論"/>
    <s v="鄒漢璜"/>
    <x v="3"/>
    <m/>
    <m/>
    <s v="https://jicheng.tw/tcm/book/%e9%84%92%e6%b0%8f%e5%af%92%e7%96%ab%e8%ab%96/index.html"/>
  </r>
  <r>
    <x v="6"/>
    <x v="3"/>
    <x v="3"/>
    <s v="痧脹玉衡"/>
    <s v="痧脹玉衡"/>
    <s v="郭志邃"/>
    <x v="3"/>
    <n v="1675"/>
    <m/>
    <s v="https://jicheng.tw/tcm/book/%e7%97%a7%e8%84%b9%e7%8e%89%e8%a1%a1/index.html"/>
  </r>
  <r>
    <x v="6"/>
    <x v="3"/>
    <x v="3"/>
    <s v="瘴瘧指南"/>
    <s v="瘴瘧指南"/>
    <s v="鄭全望"/>
    <x v="5"/>
    <n v="1609"/>
    <m/>
    <s v="https://jicheng.tw/tcm/book/%e7%98%b4%e7%98%a7%e6%8c%87%e5%8d%97/index.html"/>
  </r>
  <r>
    <x v="6"/>
    <x v="3"/>
    <x v="3"/>
    <s v="松峰説疫"/>
    <s v="松峰說疫"/>
    <s v="劉奎"/>
    <x v="3"/>
    <n v="1758"/>
    <m/>
    <s v="https://jicheng.tw/tcm/book/%e6%9d%be%e5%b3%b0%e8%aa%aa%e7%96%ab/index.html"/>
  </r>
  <r>
    <x v="6"/>
    <x v="3"/>
    <x v="3"/>
    <s v="随息居重訂霍乱論"/>
    <s v="隨息居重訂霍亂論"/>
    <s v="王士雄"/>
    <x v="3"/>
    <n v="1862"/>
    <m/>
    <s v="https://jicheng.tw/tcm/book/%e9%9a%a8%e6%81%af%e5%b1%85%e9%87%8d%e8%a8%82%e9%9c%8d%e4%ba%82%e8%ab%96/index.html"/>
  </r>
  <r>
    <x v="6"/>
    <x v="3"/>
    <x v="3"/>
    <s v="鼠疫約編"/>
    <s v="鼠疫約編"/>
    <s v="羅汝蘭"/>
    <x v="3"/>
    <n v="1901"/>
    <m/>
    <s v="https://jicheng.tw/tcm/book/%e9%bc%a0%e7%96%ab%e7%b4%84%e7%b7%a8/index.html"/>
  </r>
  <r>
    <x v="6"/>
    <x v="3"/>
    <x v="3"/>
    <s v="霍乱燃犀説"/>
    <s v="霍亂燃犀說"/>
    <s v="許志"/>
    <x v="3"/>
    <n v="1888"/>
    <m/>
    <s v="https://jicheng.tw/tcm/book/%e9%9c%8d%e4%ba%82%e7%87%83%e7%8a%80%e8%aa%aa/index.html"/>
  </r>
  <r>
    <x v="6"/>
    <x v="3"/>
    <x v="3"/>
    <s v="治痢南針"/>
    <s v="治痢南針"/>
    <s v="羅振湘"/>
    <x v="11"/>
    <n v="1932"/>
    <m/>
    <s v="https://jicheng.tw/tcm/book/%e6%b2%bb%e7%97%a2%e5%8d%97%e9%87%9d/index.html"/>
  </r>
  <r>
    <x v="6"/>
    <x v="3"/>
    <x v="3"/>
    <s v="痙病与脳膜炎全書"/>
    <s v="痙病與腦膜炎全書"/>
    <s v="劉裁吾"/>
    <x v="11"/>
    <n v="1935"/>
    <m/>
    <s v="https://jicheng.tw/tcm/book/%e7%97%99%e7%97%85%e8%88%87%e8%85%a6%e8%86%9c%e7%82%8e%e5%85%a8%e6%9b%b8/index.html"/>
  </r>
  <r>
    <x v="6"/>
    <x v="3"/>
    <x v="3"/>
    <s v="瀉疫新論"/>
    <s v="瀉疫新論"/>
    <s v="高島久貫"/>
    <x v="1"/>
    <m/>
    <m/>
    <s v="https://jicheng.tw/tcm/book/%e7%80%89%e7%96%ab%e6%96%b0%e8%ab%96/index.html"/>
  </r>
  <r>
    <x v="6"/>
    <x v="3"/>
    <x v="3"/>
    <s v="痘科弁要"/>
    <s v="痘科辨要"/>
    <s v="池田瑞仙"/>
    <x v="1"/>
    <m/>
    <m/>
    <s v="https://jicheng.tw/tcm/book/%e7%97%98%e7%a7%91%e8%be%a8%e8%a6%81/index.html"/>
  </r>
  <r>
    <x v="6"/>
    <x v="3"/>
    <x v="3"/>
    <s v="暑症発原"/>
    <s v="暑症發原"/>
    <s v="李識候"/>
    <x v="3"/>
    <m/>
    <m/>
    <s v="https://jicheng.tw/tcm/book/%e6%9a%91%e7%97%87%e7%99%bc%e5%8e%9f/index.html"/>
  </r>
  <r>
    <x v="6"/>
    <x v="3"/>
    <x v="3"/>
    <s v="治痢捷要新書"/>
    <s v="治痢捷要新書"/>
    <s v="丁國瑞"/>
    <x v="3"/>
    <n v="1898"/>
    <m/>
    <s v="https://jicheng.tw/tcm/book/%e6%b2%bb%e7%97%a2%e6%8d%b7%e8%a6%81%e6%96%b0%e6%9b%b8/index.html"/>
  </r>
  <r>
    <x v="6"/>
    <x v="3"/>
    <x v="3"/>
    <s v="秋瘧指南"/>
    <s v="秋瘧指南"/>
    <s v="林天佑"/>
    <x v="11"/>
    <n v="1912"/>
    <m/>
    <s v="https://jicheng.tw/tcm/book/%e7%a7%8b%e7%98%a7%e6%8c%87%e5%8d%97/index.html"/>
  </r>
  <r>
    <x v="6"/>
    <x v="3"/>
    <x v="3"/>
    <s v="羊毛瘟証論"/>
    <s v="羊毛瘟證論"/>
    <s v="隨霖"/>
    <x v="3"/>
    <n v="1795"/>
    <m/>
    <s v="https://jicheng.tw/tcm/book/%e7%be%8a%e6%af%9b%e7%98%9f%e8%ad%89%e8%ab%96/index.html"/>
  </r>
  <r>
    <x v="7"/>
    <x v="3"/>
    <x v="3"/>
    <s v="輔行訣臓腑用薬法要"/>
    <s v="輔行訣臟腑用藥法要"/>
    <s v="陶弘景"/>
    <x v="14"/>
    <m/>
    <s v="地域 華陽"/>
    <s v="https://jicheng.tw/tcm/book/%e8%bc%94%e8%a1%8c%e8%a8%a3%e8%87%9f%e8%85%91%e7%94%a8%e8%97%a5%e6%b3%95%e8%a6%81/index.html"/>
  </r>
  <r>
    <x v="7"/>
    <x v="3"/>
    <x v="3"/>
    <s v="活法機要"/>
    <s v="活法機要"/>
    <s v="朱震亨"/>
    <x v="4"/>
    <n v="1251"/>
    <m/>
    <s v="https://jicheng.tw/tcm/book/%e6%b4%bb%e6%b3%95%e6%a9%9f%e8%a6%81/index.html"/>
  </r>
  <r>
    <x v="7"/>
    <x v="3"/>
    <x v="3"/>
    <s v="金匱翼"/>
    <s v="金匱翼"/>
    <s v="尤怡"/>
    <x v="3"/>
    <n v="1768"/>
    <m/>
    <s v="https://jicheng.tw/tcm/book/%e9%87%91%e5%8c%b1%e7%bf%bc/index.html"/>
  </r>
  <r>
    <x v="7"/>
    <x v="3"/>
    <x v="3"/>
    <s v="医宗金鑑·雑病心法要訣"/>
    <s v="醫宗金鑑·雜病心法要訣"/>
    <s v="吳謙等"/>
    <x v="3"/>
    <n v="1742"/>
    <m/>
    <s v="https://jicheng.tw/tcm/book/%e9%86%ab%e5%ae%97%e9%87%91%e9%91%91/%e9%9b%9c%e7%97%85%e5%bf%83%e6%b3%95%e8%a6%81%e8%a8%a3/index.html"/>
  </r>
  <r>
    <x v="7"/>
    <x v="3"/>
    <x v="3"/>
    <s v="医碥"/>
    <s v="醫碥"/>
    <s v="何夢瑤"/>
    <x v="3"/>
    <n v="1751"/>
    <m/>
    <s v="https://jicheng.tw/tcm/book/%e9%86%ab%e7%a2%a5/index.html"/>
  </r>
  <r>
    <x v="7"/>
    <x v="3"/>
    <x v="3"/>
    <s v="医学正伝"/>
    <s v="醫學正傳"/>
    <s v="虞傳"/>
    <x v="5"/>
    <n v="1515"/>
    <m/>
    <s v="https://jicheng.tw/tcm/book/%e9%86%ab%e5%ad%b8%e6%ad%a3%e5%82%b3/index.html"/>
  </r>
  <r>
    <x v="7"/>
    <x v="3"/>
    <x v="3"/>
    <s v="雑症会心録"/>
    <s v="雜症會心錄"/>
    <s v="汪蘊谷"/>
    <x v="3"/>
    <n v="1754"/>
    <m/>
    <s v="https://jicheng.tw/tcm/book/%e9%9b%9c%e7%97%87%e6%9c%83%e5%bf%83%e9%8c%84/index.html"/>
  </r>
  <r>
    <x v="7"/>
    <x v="3"/>
    <x v="3"/>
    <s v="雑病広要"/>
    <s v="雜病廣要"/>
    <s v="丹波元堅撰"/>
    <x v="3"/>
    <n v="1853"/>
    <m/>
    <s v="https://jicheng.tw/tcm/book/%e9%9b%9c%e7%97%85%e5%bb%a3%e8%a6%81/index.html"/>
  </r>
  <r>
    <x v="7"/>
    <x v="3"/>
    <x v="3"/>
    <s v="内外傷弁惑論"/>
    <s v="內外傷辨惑論"/>
    <s v="李杲"/>
    <x v="6"/>
    <n v="1232"/>
    <m/>
    <s v="https://jicheng.tw/tcm/book/%e5%85%a7%e5%a4%96%e5%82%b7%e8%be%a8%e6%83%91%e8%ab%96/index.html"/>
  </r>
  <r>
    <x v="7"/>
    <x v="3"/>
    <x v="3"/>
    <s v="内外傷弁惑論_1"/>
    <s v="內外傷辨惑論_1"/>
    <s v="李杲"/>
    <x v="6"/>
    <m/>
    <s v="地域 真定（今河北省保定市）"/>
    <s v="https://jicheng.tw/tcm/book/%e5%85%a7%e5%a4%96%e5%82%b7%e8%be%a8%e6%83%91%e8%ab%96%5f%31/index.html"/>
  </r>
  <r>
    <x v="7"/>
    <x v="3"/>
    <x v="3"/>
    <s v="内科摘要"/>
    <s v="內科摘要"/>
    <s v="薛己"/>
    <x v="5"/>
    <s v="1519-1559"/>
    <m/>
    <s v="https://jicheng.tw/tcm/book/%e5%85%a7%e7%a7%91%e6%91%98%e8%a6%81/index.html"/>
  </r>
  <r>
    <x v="7"/>
    <x v="3"/>
    <x v="3"/>
    <s v="証治準縄·雑病"/>
    <s v="證治準繩·雜病"/>
    <s v="王肯堂"/>
    <x v="5"/>
    <n v="1602"/>
    <m/>
    <s v="https://jicheng.tw/tcm/book/%e8%ad%89%e6%b2%bb%e6%ba%96%e7%b9%a9/%e9%9b%9c%e7%97%85/index.html"/>
  </r>
  <r>
    <x v="7"/>
    <x v="3"/>
    <x v="3"/>
    <s v="血証論"/>
    <s v="血證論"/>
    <s v="唐宗海"/>
    <x v="3"/>
    <n v="1884"/>
    <m/>
    <s v="https://jicheng.tw/tcm/book/%e8%a1%80%e8%ad%89%e8%ab%96/index.html"/>
  </r>
  <r>
    <x v="7"/>
    <x v="3"/>
    <x v="3"/>
    <s v="血証論_1"/>
    <s v="血證論_1"/>
    <s v="唐宗海"/>
    <x v="3"/>
    <m/>
    <m/>
    <s v="https://jicheng.tw/tcm/book/%e8%a1%80%e8%ad%89%e8%ab%96%5f%31/index.html"/>
  </r>
  <r>
    <x v="7"/>
    <x v="3"/>
    <x v="3"/>
    <s v="医学伝燈"/>
    <s v="醫學傳燈"/>
    <s v="陳歧"/>
    <x v="3"/>
    <n v="1700"/>
    <m/>
    <s v="https://jicheng.tw/tcm/book/%e9%86%ab%e5%ad%b8%e5%82%b3%e7%87%88/index.html"/>
  </r>
  <r>
    <x v="7"/>
    <x v="3"/>
    <x v="3"/>
    <s v="重訂霊蘭要覧"/>
    <s v="重訂靈蘭要覽"/>
    <m/>
    <x v="1"/>
    <m/>
    <m/>
    <s v="https://jicheng.tw/tcm/book/%e9%87%8d%e8%a8%82%e9%9d%88%e8%98%ad%e8%a6%81%e8%a6%bd/index.html"/>
  </r>
  <r>
    <x v="7"/>
    <x v="3"/>
    <x v="3"/>
    <s v="脾胃論"/>
    <s v="脾胃論"/>
    <s v="李杲"/>
    <x v="6"/>
    <n v="1249"/>
    <m/>
    <s v="https://jicheng.tw/tcm/book/%e8%84%be%e8%83%83%e8%ab%96/index.html"/>
  </r>
  <r>
    <x v="7"/>
    <x v="3"/>
    <x v="3"/>
    <s v="脾胃論_1"/>
    <s v="脾胃論_1"/>
    <s v="李杲"/>
    <x v="6"/>
    <m/>
    <s v="地域 真定（今河北省保定市）"/>
    <s v="https://jicheng.tw/tcm/book/%e8%84%be%e8%83%83%e8%ab%96%5f%31/index.html"/>
  </r>
  <r>
    <x v="7"/>
    <x v="3"/>
    <x v="3"/>
    <s v="弁症玉函"/>
    <s v="辨症玉函"/>
    <m/>
    <x v="1"/>
    <m/>
    <m/>
    <s v="https://jicheng.tw/tcm/book/%e8%be%a8%e7%97%87%e7%8e%89%e5%87%bd/index.html"/>
  </r>
  <r>
    <x v="7"/>
    <x v="3"/>
    <x v="3"/>
    <s v="医学妙諦"/>
    <s v="醫學妙諦"/>
    <s v="何其偉"/>
    <x v="3"/>
    <n v="1837"/>
    <m/>
    <s v="https://jicheng.tw/tcm/book/%e9%86%ab%e5%ad%b8%e5%a6%99%e8%ab%a6/index.html"/>
  </r>
  <r>
    <x v="7"/>
    <x v="3"/>
    <x v="3"/>
    <s v="医略十三篇"/>
    <s v="醫略十三篇"/>
    <s v="蔣寶素"/>
    <x v="3"/>
    <n v="1840"/>
    <m/>
    <s v="https://jicheng.tw/tcm/book/%e9%86%ab%e7%95%a5%e5%8d%81%e4%b8%89%e7%af%87/index.html"/>
  </r>
  <r>
    <x v="7"/>
    <x v="3"/>
    <x v="3"/>
    <s v="通俗内科学"/>
    <s v="通俗內科學"/>
    <s v="張拯滋"/>
    <x v="3"/>
    <m/>
    <m/>
    <s v="https://jicheng.tw/tcm/book/%e9%80%9a%e4%bf%97%e5%85%a7%e7%a7%91%e5%ad%b8/index.html"/>
  </r>
  <r>
    <x v="7"/>
    <x v="3"/>
    <x v="3"/>
    <s v="大方脈"/>
    <s v="大方脈"/>
    <m/>
    <x v="1"/>
    <m/>
    <m/>
    <s v="https://jicheng.tw/tcm/book/%e5%a4%a7%e6%96%b9%e8%84%88/index.html"/>
  </r>
  <r>
    <x v="7"/>
    <x v="3"/>
    <x v="3"/>
    <s v="雑病治例"/>
    <s v="雜病治例"/>
    <s v="劉純"/>
    <x v="5"/>
    <n v="1408"/>
    <m/>
    <s v="https://jicheng.tw/tcm/book/%e9%9b%9c%e7%97%85%e6%b2%bb%e4%be%8b/index.html"/>
  </r>
  <r>
    <x v="7"/>
    <x v="3"/>
    <x v="3"/>
    <s v="医効秘伝"/>
    <s v="醫效秘傳"/>
    <s v="葉桂述，吳金壽校"/>
    <x v="3"/>
    <n v="1831"/>
    <m/>
    <s v="https://jicheng.tw/tcm/book/%e9%86%ab%e6%95%88%e7%a7%98%e5%82%b3/index.html"/>
  </r>
  <r>
    <x v="7"/>
    <x v="3"/>
    <x v="3"/>
    <s v="病機沙篆"/>
    <s v="病機沙篆"/>
    <s v="李中梓撰，尤乘增輯"/>
    <x v="1"/>
    <n v="1667"/>
    <m/>
    <s v="https://jicheng.tw/tcm/book/%e7%97%85%e6%a9%9f%e6%b2%99%e7%af%86/index.html"/>
  </r>
  <r>
    <x v="7"/>
    <x v="3"/>
    <x v="3"/>
    <s v="済陽綱目"/>
    <s v="濟陽綱目"/>
    <s v="李中梓撰，尤乘增輯"/>
    <x v="5"/>
    <n v="1626"/>
    <m/>
    <s v="https://jicheng.tw/tcm/book/%e6%bf%9f%e9%99%bd%e7%b6%b1%e7%9b%ae/index.html"/>
  </r>
  <r>
    <x v="7"/>
    <x v="3"/>
    <x v="3"/>
    <s v="医学従衆録"/>
    <s v="醫學從眾錄"/>
    <s v="陳念祖"/>
    <x v="3"/>
    <n v="1820"/>
    <m/>
    <s v="https://jicheng.tw/tcm/book/%e9%86%ab%e5%ad%b8%e5%be%9e%e7%9c%be%e9%8c%84/index.html"/>
  </r>
  <r>
    <x v="7"/>
    <x v="3"/>
    <x v="3"/>
    <s v="証治摘要"/>
    <s v="證治摘要"/>
    <s v="中川成章"/>
    <x v="3"/>
    <n v="1865"/>
    <m/>
    <s v="https://jicheng.tw/tcm/book/%e8%ad%89%e6%b2%bb%e6%91%98%e8%a6%81/index.html"/>
  </r>
  <r>
    <x v="7"/>
    <x v="3"/>
    <x v="3"/>
    <s v="中国内科医鑑"/>
    <s v="中國內科醫鑑"/>
    <s v="大塜敬節"/>
    <x v="1"/>
    <n v="1936"/>
    <m/>
    <s v="https://jicheng.tw/tcm/book/%e4%b8%ad%e5%9c%8b%e5%85%a7%e7%a7%91%e9%86%ab%e9%91%91/index.html"/>
  </r>
  <r>
    <x v="7"/>
    <x v="3"/>
    <x v="3"/>
    <s v="不居集"/>
    <s v="不居集"/>
    <s v="吳澄"/>
    <x v="3"/>
    <n v="1739"/>
    <m/>
    <s v="https://jicheng.tw/tcm/book/%e4%b8%8d%e5%b1%85%e9%9b%86/index.html"/>
  </r>
  <r>
    <x v="7"/>
    <x v="3"/>
    <x v="3"/>
    <s v="医学砕金"/>
    <s v="醫學碎金"/>
    <s v="周禮"/>
    <x v="5"/>
    <n v="1415"/>
    <m/>
    <s v="https://jicheng.tw/tcm/book/%e9%86%ab%e5%ad%b8%e7%a2%8e%e9%87%91/index.html"/>
  </r>
  <r>
    <x v="7"/>
    <x v="3"/>
    <x v="3"/>
    <s v="医学答問"/>
    <s v="醫學答問"/>
    <s v="梁玉瑜"/>
    <x v="3"/>
    <n v="1896"/>
    <m/>
    <s v="https://jicheng.tw/tcm/book/%e9%86%ab%e5%ad%b8%e7%ad%94%e5%95%8f/index.html"/>
  </r>
  <r>
    <x v="7"/>
    <x v="3"/>
    <x v="3"/>
    <s v="医学要数"/>
    <s v="醫學要數"/>
    <s v="胡文煥"/>
    <x v="5"/>
    <n v="1592"/>
    <m/>
    <s v="https://jicheng.tw/tcm/book/%e9%86%ab%e5%ad%b8%e8%a6%81%e6%95%b8/index.html"/>
  </r>
  <r>
    <x v="7"/>
    <x v="3"/>
    <x v="3"/>
    <s v="文十六巻"/>
    <s v="文十六卷"/>
    <s v="陸懋修"/>
    <x v="3"/>
    <n v="1865"/>
    <m/>
    <s v="https://jicheng.tw/tcm/book/%e6%96%87%e5%8d%81%e5%85%ad%e5%8d%b7/index.html"/>
  </r>
  <r>
    <x v="7"/>
    <x v="3"/>
    <x v="3"/>
    <s v="評琴書屋医略"/>
    <s v="評琴書屋醫略"/>
    <s v="潘名熊"/>
    <x v="3"/>
    <n v="1865"/>
    <m/>
    <s v="https://jicheng.tw/tcm/book/%e8%a9%95%e7%90%b4%e6%9b%b8%e5%b1%8b%e9%86%ab%e7%95%a5/index.html"/>
  </r>
  <r>
    <x v="7"/>
    <x v="3"/>
    <x v="3"/>
    <s v="傅氏男科"/>
    <s v="傅氏男科"/>
    <m/>
    <x v="1"/>
    <m/>
    <m/>
    <s v="https://jicheng.tw/tcm/book/%e5%82%85%e6%b0%8f%e7%94%b7%e7%a7%91/index.html"/>
  </r>
  <r>
    <x v="7"/>
    <x v="22"/>
    <x v="3"/>
    <s v="中風論"/>
    <s v="中風論"/>
    <s v="熊笏"/>
    <x v="3"/>
    <n v="1821"/>
    <m/>
    <s v="https://jicheng.tw/tcm/book/%e4%b8%ad%e9%a2%a8%e8%ab%96/index.html"/>
  </r>
  <r>
    <x v="7"/>
    <x v="22"/>
    <x v="3"/>
    <s v="何氏虚労心伝"/>
    <s v="何氏虛勞心傳"/>
    <s v="何炫"/>
    <x v="3"/>
    <n v="1722"/>
    <m/>
    <s v="https://jicheng.tw/tcm/book/%e4%bd%95%e6%b0%8f%e8%99%9b%e5%8b%9e%e5%bf%83%e5%82%b3/index.html"/>
  </r>
  <r>
    <x v="7"/>
    <x v="22"/>
    <x v="3"/>
    <s v="慎柔五書"/>
    <s v="慎柔五書"/>
    <s v="胡慎柔"/>
    <x v="5"/>
    <n v="1636"/>
    <m/>
    <s v="https://jicheng.tw/tcm/book/%e6%85%8e%e6%9f%94%e4%ba%94%e6%9b%b8/index.html"/>
  </r>
  <r>
    <x v="7"/>
    <x v="22"/>
    <x v="3"/>
    <s v="風労臌膈四大証治"/>
    <s v="風勞臌膈四大證治"/>
    <s v="姜禮"/>
    <x v="3"/>
    <n v="1796"/>
    <m/>
    <s v="https://jicheng.tw/tcm/book/%e9%a2%a8%e5%8b%9e%e8%87%8c%e8%86%88%e5%9b%9b%e5%a4%a7%e8%ad%89%e6%b2%bb/index.html"/>
  </r>
  <r>
    <x v="7"/>
    <x v="22"/>
    <x v="3"/>
    <s v="虚損啓微"/>
    <s v="虛損啟微"/>
    <s v="洪煒"/>
    <x v="3"/>
    <n v="1761"/>
    <m/>
    <s v="https://jicheng.tw/tcm/book/%e8%99%9b%e6%90%8d%e5%95%9f%e5%be%ae/index.html"/>
  </r>
  <r>
    <x v="7"/>
    <x v="22"/>
    <x v="3"/>
    <s v="痰火点雪"/>
    <s v="痰火點雪"/>
    <s v="龔居中"/>
    <x v="5"/>
    <n v="1630"/>
    <m/>
    <s v="https://jicheng.tw/tcm/book/%e7%97%b0%e7%81%ab%e9%bb%9e%e9%9b%aa/index.html"/>
  </r>
  <r>
    <x v="7"/>
    <x v="22"/>
    <x v="3"/>
    <s v="增訂十薬神書"/>
    <s v="增訂十藥神書"/>
    <s v="葛可久"/>
    <x v="4"/>
    <n v="1348"/>
    <m/>
    <s v="https://jicheng.tw/tcm/book/%e5%a2%9e%e8%a8%82%e5%8d%81%e8%97%a5%e7%a5%9e%e6%9b%b8/index.html"/>
  </r>
  <r>
    <x v="7"/>
    <x v="22"/>
    <x v="3"/>
    <s v="理虚元鑑"/>
    <s v="理虛元鑑"/>
    <s v="汪綺石"/>
    <x v="5"/>
    <n v="1644"/>
    <m/>
    <s v="https://jicheng.tw/tcm/book/%e7%90%86%e8%99%9b%e5%85%83%e9%91%91/index.html"/>
  </r>
  <r>
    <x v="7"/>
    <x v="22"/>
    <x v="3"/>
    <s v="秘伝大麻瘋方"/>
    <s v="祕傳大麻瘋方"/>
    <m/>
    <x v="1"/>
    <m/>
    <m/>
    <s v="https://jicheng.tw/tcm/book/%e7%a5%95%e5%82%b3%e5%a4%a7%e9%ba%bb%e7%98%8b%e6%96%b9/index.html"/>
  </r>
  <r>
    <x v="7"/>
    <x v="22"/>
    <x v="3"/>
    <s v="葛可久十薬神書歌訣"/>
    <s v="葛可久十藥神書歌訣"/>
    <m/>
    <x v="1"/>
    <m/>
    <m/>
    <s v="https://jicheng.tw/tcm/book/%e8%91%9b%e5%8f%af%e4%b9%85%e5%8d%81%e8%97%a5%e7%a5%9e%e6%9b%b8%e6%ad%8c%e8%a8%a3/index.html"/>
  </r>
  <r>
    <x v="7"/>
    <x v="22"/>
    <x v="3"/>
    <s v="陰証略例"/>
    <s v="陰證略例"/>
    <s v="王好古"/>
    <x v="4"/>
    <n v="1236"/>
    <m/>
    <s v="https://jicheng.tw/tcm/book/%e9%99%b0%e8%ad%89%e7%95%a5%e4%be%8b/index.html"/>
  </r>
  <r>
    <x v="7"/>
    <x v="22"/>
    <x v="3"/>
    <s v="脚気治法総要"/>
    <s v="腳氣治法總要"/>
    <s v="董汲"/>
    <x v="2"/>
    <n v="1093"/>
    <m/>
    <s v="https://jicheng.tw/tcm/book/%e8%85%b3%e6%b0%a3%e6%b2%bb%e6%b3%95%e7%b8%bd%e8%a6%81/index.html"/>
  </r>
  <r>
    <x v="7"/>
    <x v="22"/>
    <x v="3"/>
    <s v="三消論"/>
    <s v="三消論"/>
    <s v="劉完素"/>
    <x v="6"/>
    <n v="1244"/>
    <m/>
    <s v="https://jicheng.tw/tcm/book/%e4%b8%89%e6%b6%88%e8%ab%96/index.html"/>
  </r>
  <r>
    <x v="7"/>
    <x v="22"/>
    <x v="3"/>
    <s v="癲狂条弁"/>
    <s v="癲狂條辨"/>
    <m/>
    <x v="1"/>
    <m/>
    <m/>
    <s v="https://jicheng.tw/tcm/book/%e7%99%b2%e7%8b%82%e6%a2%9d%e8%be%a8/index.html"/>
  </r>
  <r>
    <x v="7"/>
    <x v="22"/>
    <x v="3"/>
    <s v="治瘧機要"/>
    <s v="治瘧機要"/>
    <m/>
    <x v="1"/>
    <m/>
    <m/>
    <s v="https://jicheng.tw/tcm/book/%e6%b2%bb%e7%98%a7%e6%a9%9f%e8%a6%81/index.html"/>
  </r>
  <r>
    <x v="7"/>
    <x v="22"/>
    <x v="3"/>
    <s v="瘧利成法"/>
    <s v="瘧利成法"/>
    <m/>
    <x v="1"/>
    <m/>
    <m/>
    <s v="https://jicheng.tw/tcm/book/%e7%98%a7%e5%88%a9%e6%88%90%e6%b3%95/index.html"/>
  </r>
  <r>
    <x v="7"/>
    <x v="22"/>
    <x v="3"/>
    <s v="内傷集要"/>
    <s v="內傷集要"/>
    <s v="蔡貽績"/>
    <x v="3"/>
    <n v="1822"/>
    <m/>
    <s v="https://jicheng.tw/tcm/book/%e5%85%a7%e5%82%b7%e9%9b%86%e8%a6%81/index.html"/>
  </r>
  <r>
    <x v="7"/>
    <x v="22"/>
    <x v="3"/>
    <s v="証治準縄·傷寒"/>
    <s v="證治準繩·傷寒"/>
    <s v="王肯堂"/>
    <x v="5"/>
    <n v="1602"/>
    <m/>
    <s v="https://jicheng.tw/tcm/book/%e8%ad%89%e6%b2%bb%e6%ba%96%e7%b9%a9/%e5%82%b7%e5%af%92/index.html"/>
  </r>
  <r>
    <x v="7"/>
    <x v="22"/>
    <x v="3"/>
    <s v="痢疾明弁"/>
    <s v="痢疾明辨"/>
    <s v="吳士瑛"/>
    <x v="3"/>
    <n v="1857"/>
    <m/>
    <s v="https://jicheng.tw/tcm/book/%e7%97%a2%e7%96%be%e6%98%8e%e8%be%a8/index.html"/>
  </r>
  <r>
    <x v="7"/>
    <x v="22"/>
    <x v="3"/>
    <s v="脚気概論"/>
    <s v="腳氣概論"/>
    <s v="岡田昌春等"/>
    <x v="1"/>
    <m/>
    <m/>
    <s v="https://jicheng.tw/tcm/book/%e8%85%b3%e6%b0%a3%e6%a6%82%e8%ab%96/index.html"/>
  </r>
  <r>
    <x v="7"/>
    <x v="22"/>
    <x v="3"/>
    <s v="脚気鈎要"/>
    <s v="腳氣鉤要"/>
    <s v="今邨亮"/>
    <x v="1"/>
    <m/>
    <m/>
    <s v="https://jicheng.tw/tcm/book/%e8%85%b3%e6%b0%a3%e9%89%a4%e8%a6%81/index.html"/>
  </r>
  <r>
    <x v="7"/>
    <x v="22"/>
    <x v="3"/>
    <s v="痢症三字訣"/>
    <s v="痢症三字訣"/>
    <s v="唐宗海"/>
    <x v="3"/>
    <n v="1884"/>
    <m/>
    <s v="https://jicheng.tw/tcm/book/%e7%97%a2%e7%97%87%e4%b8%89%e5%ad%97%e8%a8%a3/index.html"/>
  </r>
  <r>
    <x v="7"/>
    <x v="22"/>
    <x v="3"/>
    <s v="痎瘧論疏"/>
    <s v="痎瘧論疏"/>
    <s v="廬之頤"/>
    <x v="5"/>
    <n v="1657"/>
    <m/>
    <s v="https://jicheng.tw/tcm/book/%e7%97%8e%e7%98%a7%e8%ab%96%e7%96%8f/index.html"/>
  </r>
  <r>
    <x v="7"/>
    <x v="22"/>
    <x v="3"/>
    <s v="失眠症之療法"/>
    <s v="失眠症之療法"/>
    <s v="周進安"/>
    <x v="1"/>
    <m/>
    <m/>
    <s v="https://jicheng.tw/tcm/book/%e5%a4%b1%e7%9c%a0%e7%97%87%e4%b9%8b%e7%99%82%e6%b3%95/index.html"/>
  </r>
  <r>
    <x v="8"/>
    <x v="3"/>
    <x v="3"/>
    <s v="傅青主女科"/>
    <s v="傅青主女科"/>
    <s v="傅山"/>
    <x v="3"/>
    <n v="1673"/>
    <m/>
    <s v="https://jicheng.tw/tcm/book/%e5%82%85%e9%9d%92%e4%b8%bb%e5%a5%b3%e7%a7%91/index.html"/>
  </r>
  <r>
    <x v="8"/>
    <x v="3"/>
    <x v="3"/>
    <s v="傅青主女科_条列版"/>
    <s v="傅青主女科_條列版"/>
    <m/>
    <x v="1"/>
    <m/>
    <m/>
    <s v="https://jicheng.tw/tcm/book/%e5%82%85%e9%9d%92%e4%b8%bb%e5%a5%b3%e7%a7%91%5f%e6%a2%9d%e5%88%97%e7%89%88/index.html"/>
  </r>
  <r>
    <x v="8"/>
    <x v="3"/>
    <x v="3"/>
    <s v="張氏婦科"/>
    <s v="張氏婦科"/>
    <m/>
    <x v="1"/>
    <m/>
    <m/>
    <s v="https://jicheng.tw/tcm/book/%e5%bc%b5%e6%b0%8f%e5%a9%a6%e7%a7%91/index.html"/>
  </r>
  <r>
    <x v="8"/>
    <x v="3"/>
    <x v="3"/>
    <s v="婦科問答"/>
    <s v="婦科問答"/>
    <m/>
    <x v="1"/>
    <m/>
    <m/>
    <s v="https://jicheng.tw/tcm/book/%e5%a9%a6%e7%a7%91%e5%95%8f%e7%ad%94/index.html"/>
  </r>
  <r>
    <x v="8"/>
    <x v="3"/>
    <x v="3"/>
    <s v="婦科秘方"/>
    <s v="婦科秘方"/>
    <m/>
    <x v="1"/>
    <m/>
    <m/>
    <s v="https://jicheng.tw/tcm/book/%e5%a9%a6%e7%a7%91%e7%a7%98%e6%96%b9/index.html"/>
  </r>
  <r>
    <x v="8"/>
    <x v="3"/>
    <x v="3"/>
    <s v="済陰綱目"/>
    <s v="濟陰綱目"/>
    <s v="武之望"/>
    <x v="5"/>
    <n v="1665"/>
    <m/>
    <s v="https://jicheng.tw/tcm/book/%e6%bf%9f%e9%99%b0%e7%b6%b1%e7%9b%ae/index.html"/>
  </r>
  <r>
    <x v="8"/>
    <x v="3"/>
    <x v="3"/>
    <s v="済陰綱目_1"/>
    <s v="濟陰綱目_1"/>
    <s v="武之望"/>
    <x v="5"/>
    <m/>
    <m/>
    <s v="https://jicheng.tw/tcm/book/%e6%bf%9f%e9%99%b0%e7%b6%b1%e7%9b%ae%5f%31/index.html"/>
  </r>
  <r>
    <x v="8"/>
    <x v="3"/>
    <x v="3"/>
    <s v="医宗金鑑·婦科心法要訣"/>
    <s v="醫宗金鑑·婦科心法要訣"/>
    <s v="吳謙等"/>
    <x v="3"/>
    <n v="1742"/>
    <m/>
    <s v="https://jicheng.tw/tcm/book/%e9%86%ab%e5%ae%97%e9%87%91%e9%91%91/%e5%a9%a6%e7%a7%91%e5%bf%83%e6%b3%95%e8%a6%81%e8%a8%a3/index.html"/>
  </r>
  <r>
    <x v="8"/>
    <x v="3"/>
    <x v="3"/>
    <s v="女科要旨"/>
    <s v="女科要旨"/>
    <s v="陳念祖"/>
    <x v="3"/>
    <n v="1841"/>
    <m/>
    <s v="https://jicheng.tw/tcm/book/%e5%a5%b3%e7%a7%91%e8%a6%81%e6%97%a8/index.html"/>
  </r>
  <r>
    <x v="8"/>
    <x v="3"/>
    <x v="3"/>
    <s v="女科撮要"/>
    <s v="女科撮要"/>
    <s v="薛己"/>
    <x v="5"/>
    <n v="1548"/>
    <m/>
    <s v="https://jicheng.tw/tcm/book/%e5%a5%b3%e7%a7%91%e6%92%ae%e8%a6%81/index.html"/>
  </r>
  <r>
    <x v="8"/>
    <x v="3"/>
    <x v="3"/>
    <s v="沈氏女科輯要"/>
    <s v="沈氏女科輯要"/>
    <s v="沈又彭"/>
    <x v="3"/>
    <n v="1764"/>
    <m/>
    <s v="https://jicheng.tw/tcm/book/%e6%b2%88%e6%b0%8f%e5%a5%b3%e7%a7%91%e8%bc%af%e8%a6%81/index.html"/>
  </r>
  <r>
    <x v="8"/>
    <x v="3"/>
    <x v="3"/>
    <s v="家伝女科経験摘奇"/>
    <s v="家傳女科經驗摘奇"/>
    <m/>
    <x v="1"/>
    <m/>
    <m/>
    <s v="https://jicheng.tw/tcm/book/%e5%ae%b6%e5%82%b3%e5%a5%b3%e7%a7%91%e7%b6%93%e9%a9%97%e6%91%98%e5%a5%87/index.html"/>
  </r>
  <r>
    <x v="8"/>
    <x v="3"/>
    <x v="3"/>
    <s v="婦科秘書"/>
    <s v="婦科秘書"/>
    <s v="陳起"/>
    <x v="3"/>
    <n v="1884"/>
    <m/>
    <s v="https://jicheng.tw/tcm/book/%e5%a9%a6%e7%a7%91%e7%a7%98%e6%9b%b8/index.html"/>
  </r>
  <r>
    <x v="8"/>
    <x v="3"/>
    <x v="3"/>
    <s v="寧坤秘笈"/>
    <s v="寧坤秘笈"/>
    <s v="蕭山竹林寺僧"/>
    <x v="3"/>
    <n v="1786"/>
    <m/>
    <s v="https://jicheng.tw/tcm/book/%e5%af%a7%e5%9d%a4%e7%a7%98%e7%ac%88/index.html"/>
  </r>
  <r>
    <x v="8"/>
    <x v="3"/>
    <x v="3"/>
    <s v="済生集"/>
    <s v="濟生集"/>
    <s v="王春亭"/>
    <x v="3"/>
    <n v="1896"/>
    <m/>
    <s v="https://jicheng.tw/tcm/book/%e6%bf%9f%e7%94%9f%e9%9b%86/index.html"/>
  </r>
  <r>
    <x v="8"/>
    <x v="3"/>
    <x v="3"/>
    <s v="内府秘伝経験女科"/>
    <s v="內府秘傳經驗女科"/>
    <s v="龔廷賢"/>
    <x v="5"/>
    <n v="1716"/>
    <m/>
    <s v="https://jicheng.tw/tcm/book/%e5%85%a7%e5%ba%9c%e7%a7%98%e5%82%b3%e7%b6%93%e9%a9%97%e5%a5%b3%e7%a7%91/index.html"/>
  </r>
  <r>
    <x v="8"/>
    <x v="3"/>
    <x v="3"/>
    <s v="女科指要"/>
    <s v="女科指要"/>
    <s v="徐大椿"/>
    <x v="3"/>
    <n v="1764"/>
    <m/>
    <s v="https://jicheng.tw/tcm/book/%e5%a5%b3%e7%a7%91%e6%8c%87%e8%a6%81/index.html"/>
  </r>
  <r>
    <x v="8"/>
    <x v="3"/>
    <x v="3"/>
    <s v="女科切要"/>
    <s v="女科切要"/>
    <s v="吳道源"/>
    <x v="3"/>
    <n v="1773"/>
    <m/>
    <s v="https://jicheng.tw/tcm/book/%e5%a5%b3%e7%a7%91%e5%88%87%e8%a6%81/index.html"/>
  </r>
  <r>
    <x v="8"/>
    <x v="3"/>
    <x v="3"/>
    <s v="女科切要_1"/>
    <s v="女科切要_1"/>
    <s v="吳道源"/>
    <x v="3"/>
    <m/>
    <m/>
    <s v="https://jicheng.tw/tcm/book/%e5%a5%b3%e7%a7%91%e5%88%87%e8%a6%81%5f%31/index.html"/>
  </r>
  <r>
    <x v="8"/>
    <x v="3"/>
    <x v="3"/>
    <s v="女科精要"/>
    <s v="女科精要"/>
    <s v="馮兆張"/>
    <x v="3"/>
    <n v="1694"/>
    <m/>
    <s v="https://jicheng.tw/tcm/book/%e5%a5%b3%e7%a7%91%e7%b2%be%e8%a6%81/index.html"/>
  </r>
  <r>
    <x v="8"/>
    <x v="3"/>
    <x v="3"/>
    <s v="竹泉生女科集要"/>
    <s v="竹泉生女科集要"/>
    <m/>
    <x v="1"/>
    <m/>
    <m/>
    <s v="https://jicheng.tw/tcm/book/%e7%ab%b9%e6%b3%89%e7%94%9f%e5%a5%b3%e7%a7%91%e9%9b%86%e8%a6%81/index.html"/>
  </r>
  <r>
    <x v="8"/>
    <x v="3"/>
    <x v="3"/>
    <s v="女科秘要"/>
    <s v="女科秘要"/>
    <m/>
    <x v="3"/>
    <m/>
    <m/>
    <s v="https://jicheng.tw/tcm/book/%e5%a5%b3%e7%a7%91%e7%a7%98%e8%a6%81/index.html"/>
  </r>
  <r>
    <x v="8"/>
    <x v="3"/>
    <x v="3"/>
    <s v="傅青主女科歌括"/>
    <s v="傅青主女科歌括"/>
    <s v="傅山"/>
    <x v="3"/>
    <n v="1673"/>
    <s v="此書為《傅青主女科》經校勘、補遺並加上歌訣"/>
    <s v="https://jicheng.tw/tcm/book/%e5%82%85%e9%9d%92%e4%b8%bb%e5%a5%b3%e7%a7%91%e6%ad%8c%e6%8b%ac/index.html"/>
  </r>
  <r>
    <x v="8"/>
    <x v="3"/>
    <x v="3"/>
    <s v="女科秘旨"/>
    <s v="女科秘旨"/>
    <s v="輪印禪師"/>
    <x v="3"/>
    <n v="1771"/>
    <m/>
    <s v="https://jicheng.tw/tcm/book/%e5%a5%b3%e7%a7%91%e7%a7%98%e6%97%a8/index.html"/>
  </r>
  <r>
    <x v="8"/>
    <x v="3"/>
    <x v="3"/>
    <s v="婦科玉尺"/>
    <s v="婦科玉尺"/>
    <s v="沈金鰲"/>
    <x v="3"/>
    <n v="1773"/>
    <m/>
    <s v="https://jicheng.tw/tcm/book/%e5%a9%a6%e7%a7%91%e7%8e%89%e5%b0%ba/index.html"/>
  </r>
  <r>
    <x v="8"/>
    <x v="3"/>
    <x v="3"/>
    <s v="女科折衷纂要"/>
    <s v="女科折衷纂要"/>
    <s v="凌德"/>
    <x v="3"/>
    <n v="1892"/>
    <m/>
    <s v="https://jicheng.tw/tcm/book/%e5%a5%b3%e7%a7%91%e6%8a%98%e8%a1%b7%e7%ba%82%e8%a6%81/index.html"/>
  </r>
  <r>
    <x v="8"/>
    <x v="3"/>
    <x v="3"/>
    <s v="邯鄲遺稿"/>
    <s v="邯鄲遺稿"/>
    <s v="趙獻可"/>
    <x v="5"/>
    <n v="1617"/>
    <m/>
    <s v="https://jicheng.tw/tcm/book/%e9%82%af%e9%84%b2%e9%81%ba%e7%a8%bf/index.html"/>
  </r>
  <r>
    <x v="8"/>
    <x v="3"/>
    <x v="3"/>
    <s v="竹林女科証治"/>
    <s v="竹林女科證治"/>
    <s v="方昌翰"/>
    <x v="3"/>
    <m/>
    <m/>
    <s v="https://jicheng.tw/tcm/book/%e7%ab%b9%e6%9e%97%e5%a5%b3%e7%a7%91%e8%ad%89%e6%b2%bb/index.html"/>
  </r>
  <r>
    <x v="8"/>
    <x v="3"/>
    <x v="3"/>
    <s v="女科指掌"/>
    <s v="女科指掌"/>
    <s v="葉其蓁"/>
    <x v="3"/>
    <n v="1724"/>
    <m/>
    <s v="https://jicheng.tw/tcm/book/%e5%a5%b3%e7%a7%91%e6%8c%87%e6%8e%8c/index.html"/>
  </r>
  <r>
    <x v="8"/>
    <x v="3"/>
    <x v="3"/>
    <s v="婦人規"/>
    <s v="婦人規"/>
    <s v="張介賓"/>
    <x v="5"/>
    <n v="1637"/>
    <m/>
    <s v="https://jicheng.tw/tcm/book/%e5%a9%a6%e4%ba%ba%e8%a6%8f/index.html"/>
  </r>
  <r>
    <x v="8"/>
    <x v="3"/>
    <x v="3"/>
    <s v="女科経綸"/>
    <s v="女科經綸"/>
    <s v="蕭塤"/>
    <x v="3"/>
    <n v="1684"/>
    <m/>
    <s v="https://jicheng.tw/tcm/book/%e5%a5%b3%e7%a7%91%e7%b6%93%e7%b6%b8/index.html"/>
  </r>
  <r>
    <x v="8"/>
    <x v="3"/>
    <x v="3"/>
    <s v="女科経綸_1"/>
    <s v="女科經綸_1"/>
    <s v="蕭塤"/>
    <x v="3"/>
    <m/>
    <m/>
    <s v="https://jicheng.tw/tcm/book/%e5%a5%b3%e7%a7%91%e7%b6%93%e7%b6%b8%5f%31/index.html"/>
  </r>
  <r>
    <x v="8"/>
    <x v="3"/>
    <x v="3"/>
    <s v="証治準縄·女科"/>
    <s v="證治準繩·女科"/>
    <s v="王肯堂"/>
    <x v="5"/>
    <n v="1602"/>
    <m/>
    <s v="https://jicheng.tw/tcm/book/%e8%ad%89%e6%b2%bb%e6%ba%96%e7%b9%a9/%e5%a5%b3%e7%a7%91/index.html"/>
  </r>
  <r>
    <x v="8"/>
    <x v="3"/>
    <x v="3"/>
    <s v="女科百問"/>
    <s v="女科百問"/>
    <s v="宋仲甫"/>
    <x v="9"/>
    <n v="1220"/>
    <m/>
    <s v="https://jicheng.tw/tcm/book/%e5%a5%b3%e7%a7%91%e7%99%be%e5%95%8f/index.html"/>
  </r>
  <r>
    <x v="8"/>
    <x v="3"/>
    <x v="3"/>
    <s v="女科百問_1"/>
    <s v="女科百問_1"/>
    <s v="齊仲甫"/>
    <x v="3"/>
    <m/>
    <m/>
    <s v="https://jicheng.tw/tcm/book/%e5%a5%b3%e7%a7%91%e7%99%be%e5%95%8f%5f%31/index.html"/>
  </r>
  <r>
    <x v="8"/>
    <x v="3"/>
    <x v="3"/>
    <s v="女科旨要"/>
    <s v="女科旨要"/>
    <s v="雪岩禪師"/>
    <x v="3"/>
    <s v="1644-1911"/>
    <m/>
    <s v="https://jicheng.tw/tcm/book/%e5%a5%b3%e7%a7%91%e6%97%a8%e8%a6%81/index.html"/>
  </r>
  <r>
    <x v="8"/>
    <x v="3"/>
    <x v="3"/>
    <s v="薛氏済陰万金書"/>
    <s v="薛氏濟陰萬金書"/>
    <s v="薛古愚撰，鄭敷政等編"/>
    <x v="1"/>
    <n v="1265"/>
    <m/>
    <s v="https://jicheng.tw/tcm/book/%e8%96%9b%e6%b0%8f%e6%bf%9f%e9%99%b0%e8%90%ac%e9%87%91%e6%9b%b8/index.html"/>
  </r>
  <r>
    <x v="8"/>
    <x v="3"/>
    <x v="3"/>
    <s v="婦科百弁"/>
    <s v="婦科百辨"/>
    <s v="莊履嚴"/>
    <x v="3"/>
    <n v="1644"/>
    <m/>
    <s v="https://jicheng.tw/tcm/book/%e5%a9%a6%e7%a7%91%e7%99%be%e8%be%a8/index.html"/>
  </r>
  <r>
    <x v="8"/>
    <x v="3"/>
    <x v="3"/>
    <s v="秘珍済陰"/>
    <s v="秘珍濟陰"/>
    <s v="周詒觀"/>
    <x v="3"/>
    <n v="1830"/>
    <m/>
    <s v="https://jicheng.tw/tcm/book/%e7%a7%98%e7%8f%8d%e6%bf%9f%e9%99%b0/index.html"/>
  </r>
  <r>
    <x v="8"/>
    <x v="3"/>
    <x v="3"/>
    <s v="女丹合編選註"/>
    <s v="女丹合編選註"/>
    <s v="賀龍驤"/>
    <x v="3"/>
    <n v="1905"/>
    <m/>
    <s v="https://jicheng.tw/tcm/book/%e5%a5%b3%e4%b8%b9%e5%90%88%e7%b7%a8%e9%81%b8%e8%a8%bb/index.html"/>
  </r>
  <r>
    <x v="8"/>
    <x v="3"/>
    <x v="3"/>
    <s v="彤園医書·婦人科"/>
    <s v="彤園醫書·婦人科"/>
    <s v="鄭玉壇"/>
    <x v="3"/>
    <n v="1795"/>
    <m/>
    <s v="https://jicheng.tw/tcm/book/%e5%bd%a4%e5%9c%92%e9%86%ab%e6%9b%b8/%e5%a9%a6%e4%ba%ba%e7%a7%91/index.html"/>
  </r>
  <r>
    <x v="8"/>
    <x v="3"/>
    <x v="3"/>
    <s v="金匱啓鑰·婦科"/>
    <s v="金匱啟鑰·婦科"/>
    <s v="黃朝坊"/>
    <x v="3"/>
    <n v="1804"/>
    <m/>
    <s v="https://jicheng.tw/tcm/book/%e9%87%91%e5%8c%b1%e5%95%9f%e9%91%b0/%e5%a9%a6%e7%a7%91/index.html"/>
  </r>
  <r>
    <x v="8"/>
    <x v="3"/>
    <x v="3"/>
    <s v="校註婦人良方"/>
    <s v="校註婦人良方"/>
    <s v="薛己"/>
    <x v="5"/>
    <n v="1237"/>
    <m/>
    <s v="https://jicheng.tw/tcm/book/%e6%a0%a1%e8%a8%bb%e5%a9%a6%e4%ba%ba%e8%89%af%e6%96%b9/index.html"/>
  </r>
  <r>
    <x v="8"/>
    <x v="3"/>
    <x v="3"/>
    <s v="万氏女科"/>
    <s v="萬氏女科"/>
    <m/>
    <x v="1"/>
    <n v="1571"/>
    <m/>
    <s v="https://jicheng.tw/tcm/book/%e8%90%ac%e6%b0%8f%e5%a5%b3%e7%a7%91/index.html"/>
  </r>
  <r>
    <x v="8"/>
    <x v="3"/>
    <x v="3"/>
    <s v="沈氏女科輯要箋疏"/>
    <s v="沈氏女科輯要箋疏"/>
    <s v="沈又彭原輯，張壽頤箋疏"/>
    <x v="3"/>
    <m/>
    <m/>
    <s v="https://jicheng.tw/tcm/book/%e6%b2%88%e6%b0%8f%e5%a5%b3%e7%a7%91%e8%bc%af%e8%a6%81%e7%ae%8b%e7%96%8f/index.html"/>
  </r>
  <r>
    <x v="8"/>
    <x v="3"/>
    <x v="3"/>
    <s v="傅氏女科"/>
    <s v="傅氏女科"/>
    <m/>
    <x v="1"/>
    <m/>
    <m/>
    <s v="https://jicheng.tw/tcm/book/%e5%82%85%e6%b0%8f%e5%a5%b3%e7%a7%91/index.html"/>
  </r>
  <r>
    <x v="8"/>
    <x v="3"/>
    <x v="3"/>
    <s v="女科仙方"/>
    <s v="女科仙方"/>
    <m/>
    <x v="1"/>
    <m/>
    <m/>
    <s v="https://jicheng.tw/tcm/book/%e5%a5%b3%e7%a7%91%e4%bb%99%e6%96%b9/index.html"/>
  </r>
  <r>
    <x v="8"/>
    <x v="3"/>
    <x v="3"/>
    <s v="婦科氷鑑"/>
    <s v="婦科冰鑑"/>
    <s v="柴得華"/>
    <x v="3"/>
    <n v="1776"/>
    <m/>
    <s v="https://jicheng.tw/tcm/book/%e5%a9%a6%e7%a7%91%e5%86%b0%e9%91%91/index.html"/>
  </r>
  <r>
    <x v="8"/>
    <x v="3"/>
    <x v="3"/>
    <s v="鄭氏家伝女科万金方"/>
    <s v="鄭氏家傳女科萬金方"/>
    <m/>
    <x v="1"/>
    <m/>
    <m/>
    <s v="https://jicheng.tw/tcm/book/%e9%84%ad%e6%b0%8f%e5%ae%b6%e5%82%b3%e5%a5%b3%e7%a7%91%e8%90%ac%e9%87%91%e6%96%b9/index.html"/>
  </r>
  <r>
    <x v="8"/>
    <x v="3"/>
    <x v="3"/>
    <s v="竹林寺女科秘方"/>
    <s v="竹林寺女科秘方"/>
    <s v="浙江蕭山竹林寺僧"/>
    <x v="3"/>
    <m/>
    <m/>
    <s v="https://jicheng.tw/tcm/book/%e7%ab%b9%e6%9e%97%e5%af%ba%e5%a5%b3%e7%a7%91%e7%a7%98%e6%96%b9/index.html"/>
  </r>
  <r>
    <x v="8"/>
    <x v="3"/>
    <x v="3"/>
    <s v="程門雪遺稿"/>
    <s v="程門雪遺稿"/>
    <s v="程門雪"/>
    <x v="1"/>
    <m/>
    <m/>
    <s v="https://jicheng.tw/tcm/book/%e7%a8%8b%e9%96%80%e9%9b%aa%e9%81%ba%e7%a8%bf/index.html"/>
  </r>
  <r>
    <x v="8"/>
    <x v="23"/>
    <x v="3"/>
    <s v="経効産宝"/>
    <s v="經效產寶"/>
    <s v="昝殷"/>
    <x v="7"/>
    <n v="850"/>
    <m/>
    <s v="https://jicheng.tw/tcm/book/%e7%b6%93%e6%95%88%e7%94%a2%e5%af%b6/index.html"/>
  </r>
  <r>
    <x v="8"/>
    <x v="23"/>
    <x v="3"/>
    <s v="盤珠集胎産症治"/>
    <s v="盤珠集胎產症治"/>
    <s v="單南山"/>
    <x v="3"/>
    <s v="1644-1911"/>
    <m/>
    <s v="https://jicheng.tw/tcm/book/%e7%9b%a4%e7%8f%a0%e9%9b%86%e8%83%8e%e7%94%a2%e7%97%87%e6%b2%bb/index.html"/>
  </r>
  <r>
    <x v="8"/>
    <x v="23"/>
    <x v="3"/>
    <s v="盤珠集胎産症治_1"/>
    <s v="盤珠集胎產症治_1"/>
    <s v="施澹寧"/>
    <x v="3"/>
    <m/>
    <m/>
    <s v="https://jicheng.tw/tcm/book/%e7%9b%a4%e7%8f%a0%e9%9b%86%e8%83%8e%e7%94%a2%e7%97%87%e6%b2%bb%5f%31/index.html"/>
  </r>
  <r>
    <x v="8"/>
    <x v="23"/>
    <x v="3"/>
    <s v="産鑑"/>
    <s v="產鑑"/>
    <s v="王化貞"/>
    <x v="5"/>
    <n v="1618"/>
    <m/>
    <s v="https://jicheng.tw/tcm/book/%e7%94%a2%e9%91%91/index.html"/>
  </r>
  <r>
    <x v="8"/>
    <x v="23"/>
    <x v="3"/>
    <s v="産後十八論"/>
    <s v="產後十八論"/>
    <s v="道先氏"/>
    <x v="3"/>
    <n v="1729"/>
    <m/>
    <s v="https://jicheng.tw/tcm/book/%e7%94%a2%e5%be%8c%e5%8d%81%e5%85%ab%e8%ab%96/index.html"/>
  </r>
  <r>
    <x v="8"/>
    <x v="23"/>
    <x v="3"/>
    <s v="銭氏秘伝産科方書名試験録"/>
    <s v="錢氏秘傳產科方書名試驗錄"/>
    <m/>
    <x v="1"/>
    <m/>
    <m/>
    <s v="https://jicheng.tw/tcm/book/%e9%8c%a2%e6%b0%8f%e7%a7%98%e5%82%b3%e7%94%a2%e7%a7%91%e6%96%b9%e6%9b%b8%e5%90%8d%e8%a9%a6%e9%a9%97%e9%8c%84/index.html"/>
  </r>
  <r>
    <x v="8"/>
    <x v="23"/>
    <x v="3"/>
    <s v="胎産指南"/>
    <s v="胎產指南"/>
    <s v="單南山"/>
    <x v="3"/>
    <n v="1856"/>
    <m/>
    <s v="https://jicheng.tw/tcm/book/%e8%83%8e%e7%94%a2%e6%8c%87%e5%8d%97/index.html"/>
  </r>
  <r>
    <x v="8"/>
    <x v="23"/>
    <x v="3"/>
    <s v="胎産指南_1"/>
    <s v="胎產指南_1"/>
    <s v="單南山"/>
    <x v="3"/>
    <m/>
    <m/>
    <s v="https://jicheng.tw/tcm/book/%e8%83%8e%e7%94%a2%e6%8c%87%e5%8d%97%5f%31/index.html"/>
  </r>
  <r>
    <x v="8"/>
    <x v="23"/>
    <x v="3"/>
    <s v="胎産秘書"/>
    <s v="胎產秘書"/>
    <s v="陳笏庵"/>
    <x v="3"/>
    <n v="1795"/>
    <m/>
    <s v="https://jicheng.tw/tcm/book/%e8%83%8e%e7%94%a2%e7%a7%98%e6%9b%b8/index.html"/>
  </r>
  <r>
    <x v="8"/>
    <x v="23"/>
    <x v="3"/>
    <s v="達生編"/>
    <s v="達生編"/>
    <s v="亟齋居士"/>
    <x v="3"/>
    <n v="1715"/>
    <m/>
    <s v="https://jicheng.tw/tcm/book/%e9%81%94%e7%94%9f%e7%b7%a8/index.html"/>
  </r>
  <r>
    <x v="8"/>
    <x v="23"/>
    <x v="3"/>
    <s v="衛生家宝産科備要"/>
    <s v="衛生家寶產科備要"/>
    <s v="朱端章"/>
    <x v="2"/>
    <n v="1184"/>
    <m/>
    <s v="https://jicheng.tw/tcm/book/%e8%a1%9b%e7%94%9f%e5%ae%b6%e5%af%b6%e7%94%a2%e7%a7%91%e5%82%99%e8%a6%81/index.html"/>
  </r>
  <r>
    <x v="8"/>
    <x v="23"/>
    <x v="3"/>
    <s v="産宝"/>
    <s v="產寶"/>
    <s v="倪枝維"/>
    <x v="3"/>
    <n v="1728"/>
    <m/>
    <s v="https://jicheng.tw/tcm/book/%e7%94%a2%e5%af%b6/index.html"/>
  </r>
  <r>
    <x v="8"/>
    <x v="23"/>
    <x v="3"/>
    <s v="胎産心法"/>
    <s v="胎產心法"/>
    <s v="閻純璽"/>
    <x v="3"/>
    <n v="1730"/>
    <m/>
    <s v="https://jicheng.tw/tcm/book/%e8%83%8e%e7%94%a2%e5%bf%83%e6%b3%95/index.html"/>
  </r>
  <r>
    <x v="8"/>
    <x v="23"/>
    <x v="3"/>
    <s v="産孕集"/>
    <s v="產孕集"/>
    <s v="張曜孫"/>
    <x v="3"/>
    <n v="1830"/>
    <m/>
    <s v="https://jicheng.tw/tcm/book/%e7%94%a2%e5%ad%95%e9%9b%86/index.html"/>
  </r>
  <r>
    <x v="8"/>
    <x v="23"/>
    <x v="3"/>
    <s v="重訂産孕集"/>
    <s v="重訂產孕集"/>
    <s v="張曜孫"/>
    <x v="3"/>
    <m/>
    <m/>
    <s v="https://jicheng.tw/tcm/book/%e9%87%8d%e8%a8%82%e7%94%a2%e5%ad%95%e9%9b%86/index.html"/>
  </r>
  <r>
    <x v="8"/>
    <x v="23"/>
    <x v="3"/>
    <s v="生生宝録"/>
    <s v="生生寶錄"/>
    <s v="袁于江"/>
    <x v="3"/>
    <n v="1825"/>
    <m/>
    <s v="https://jicheng.tw/tcm/book/%e7%94%9f%e7%94%9f%e5%af%b6%e9%8c%84/index.html"/>
  </r>
  <r>
    <x v="8"/>
    <x v="23"/>
    <x v="3"/>
    <s v="産論"/>
    <s v="產論"/>
    <s v="賀川玄悅"/>
    <x v="1"/>
    <m/>
    <m/>
    <s v="https://jicheng.tw/tcm/book/%e7%94%a2%e8%ab%96/index.html"/>
  </r>
  <r>
    <x v="8"/>
    <x v="23"/>
    <x v="3"/>
    <s v="胤産全書"/>
    <s v="胤產全書"/>
    <s v="王肯堂"/>
    <x v="5"/>
    <n v="1602"/>
    <m/>
    <s v="https://jicheng.tw/tcm/book/%e8%83%a4%e7%94%a2%e5%85%a8%e6%9b%b8/index.html"/>
  </r>
  <r>
    <x v="8"/>
    <x v="23"/>
    <x v="3"/>
    <s v="胎産証治"/>
    <s v="胎產證治"/>
    <s v="王肯堂"/>
    <x v="5"/>
    <n v="1602"/>
    <m/>
    <s v="https://jicheng.tw/tcm/book/%e8%83%8e%e7%94%a2%e8%ad%89%e6%b2%bb/index.html"/>
  </r>
  <r>
    <x v="8"/>
    <x v="23"/>
    <x v="3"/>
    <s v="産科発蒙"/>
    <s v="產科發蒙"/>
    <s v="片倉元周"/>
    <x v="3"/>
    <m/>
    <m/>
    <s v="https://jicheng.tw/tcm/book/%e7%94%a2%e7%a7%91%e7%99%bc%e8%92%99/index.html"/>
  </r>
  <r>
    <x v="8"/>
    <x v="23"/>
    <x v="3"/>
    <s v="産論翼"/>
    <s v="產論翼"/>
    <s v="賀川玄迪"/>
    <x v="1"/>
    <m/>
    <m/>
    <s v="https://jicheng.tw/tcm/book/%e7%94%a2%e8%ab%96%e7%bf%bc/index.html"/>
  </r>
  <r>
    <x v="8"/>
    <x v="23"/>
    <x v="3"/>
    <s v="高淑濂胎産方案"/>
    <s v="高淑濂胎產方案"/>
    <m/>
    <x v="1"/>
    <m/>
    <m/>
    <s v="https://jicheng.tw/tcm/book/%e9%ab%98%e6%b7%91%e6%bf%82%e8%83%8e%e7%94%a2%e6%96%b9%e6%a1%88/index.html"/>
  </r>
  <r>
    <x v="8"/>
    <x v="23"/>
    <x v="3"/>
    <s v="済生産宝"/>
    <s v="濟生產寶"/>
    <s v="原著者不詳，徐明善校正"/>
    <x v="1"/>
    <n v="1558"/>
    <m/>
    <s v="https://jicheng.tw/tcm/book/%e6%bf%9f%e7%94%9f%e7%94%a2%e5%af%b6/index.html"/>
  </r>
  <r>
    <x v="8"/>
    <x v="23"/>
    <x v="3"/>
    <s v="評註産科心法"/>
    <s v="評註產科心法"/>
    <m/>
    <x v="1"/>
    <m/>
    <m/>
    <s v="https://jicheng.tw/tcm/book/%e8%a9%95%e8%a8%bb%e7%94%a2%e7%a7%91%e5%bf%83%e6%b3%95/index.html"/>
  </r>
  <r>
    <x v="8"/>
    <x v="23"/>
    <x v="3"/>
    <s v="育麟験方"/>
    <s v="毓麟驗方"/>
    <m/>
    <x v="1"/>
    <m/>
    <m/>
    <s v="https://jicheng.tw/tcm/book/%e6%af%93%e9%ba%9f%e9%a9%97%e6%96%b9/index.html"/>
  </r>
  <r>
    <x v="8"/>
    <x v="23"/>
    <x v="3"/>
    <s v="広嗣要語"/>
    <s v="廣嗣要語"/>
    <s v="俞橋"/>
    <x v="5"/>
    <n v="1544"/>
    <m/>
    <s v="https://jicheng.tw/tcm/book/%e5%bb%a3%e5%97%a3%e8%a6%81%e8%aa%9e/index.html"/>
  </r>
  <r>
    <x v="8"/>
    <x v="23"/>
    <x v="3"/>
    <s v="宜麟策"/>
    <s v="宜麟策"/>
    <s v="汪和鼎整理自張介賓之論述"/>
    <x v="3"/>
    <n v="1636"/>
    <m/>
    <s v="https://jicheng.tw/tcm/book/%e5%ae%9c%e9%ba%9f%e7%ad%96/index.html"/>
  </r>
  <r>
    <x v="8"/>
    <x v="23"/>
    <x v="3"/>
    <s v="孕育玄機"/>
    <s v="孕育玄機"/>
    <s v="陶本學"/>
    <x v="3"/>
    <n v="1722"/>
    <m/>
    <s v="https://jicheng.tw/tcm/book/%e5%ad%95%e8%82%b2%e7%8e%84%e6%a9%9f/index.html"/>
  </r>
  <r>
    <x v="8"/>
    <x v="23"/>
    <x v="3"/>
    <s v="広嗣紀要"/>
    <s v="廣嗣紀要"/>
    <s v="萬全"/>
    <x v="5"/>
    <n v="1572"/>
    <m/>
    <s v="https://jicheng.tw/tcm/book/%e5%bb%a3%e5%97%a3%e7%b4%80%e8%a6%81/index.html"/>
  </r>
  <r>
    <x v="8"/>
    <x v="23"/>
    <x v="3"/>
    <s v="続增大生要旨"/>
    <s v="續增大生要旨"/>
    <s v="唐千頃"/>
    <x v="3"/>
    <n v="1849"/>
    <m/>
    <s v="https://jicheng.tw/tcm/book/%e7%ba%8c%e5%a2%9e%e5%a4%a7%e7%94%9f%e8%a6%81%e6%97%a8/index.html"/>
  </r>
  <r>
    <x v="8"/>
    <x v="23"/>
    <x v="3"/>
    <s v="産育宝慶方"/>
    <s v="產育寶慶方"/>
    <m/>
    <x v="2"/>
    <m/>
    <m/>
    <s v="https://jicheng.tw/tcm/book/%e7%94%a2%e8%82%b2%e5%af%b6%e6%85%b6%e6%96%b9/index.html"/>
  </r>
  <r>
    <x v="8"/>
    <x v="23"/>
    <x v="3"/>
    <s v="産宝諸方"/>
    <s v="產寶諸方"/>
    <m/>
    <x v="2"/>
    <m/>
    <m/>
    <s v="https://jicheng.tw/tcm/book/%e7%94%a2%e5%af%b6%e8%ab%b8%e6%96%b9/index.html"/>
  </r>
  <r>
    <x v="8"/>
    <x v="23"/>
    <x v="3"/>
    <s v="胎産新書"/>
    <s v="胎產新書"/>
    <s v="雪巖禪師纂輯，靜光輪應禪師考定"/>
    <x v="3"/>
    <m/>
    <m/>
    <s v="https://jicheng.tw/tcm/book/%e8%83%8e%e7%94%a2%e6%96%b0%e6%9b%b8/index.html"/>
  </r>
  <r>
    <x v="9"/>
    <x v="3"/>
    <x v="3"/>
    <s v="幼科発揮"/>
    <s v="幼科發揮"/>
    <s v="萬全"/>
    <x v="5"/>
    <n v="1549"/>
    <m/>
    <s v="https://jicheng.tw/tcm/book/%e5%b9%bc%e7%a7%91%e7%99%bc%e6%8f%ae/index.html"/>
  </r>
  <r>
    <x v="9"/>
    <x v="3"/>
    <x v="3"/>
    <s v="児科要略"/>
    <s v="兒科要略"/>
    <m/>
    <x v="1"/>
    <m/>
    <m/>
    <s v="https://jicheng.tw/tcm/book/%e5%85%92%e7%a7%91%e8%a6%81%e7%95%a5/index.html"/>
  </r>
  <r>
    <x v="9"/>
    <x v="3"/>
    <x v="3"/>
    <s v="幼科概論"/>
    <s v="幼科概論"/>
    <m/>
    <x v="1"/>
    <m/>
    <m/>
    <s v="https://jicheng.tw/tcm/book/%e5%b9%bc%e7%a7%91%e6%a6%82%e8%ab%96/index.html"/>
  </r>
  <r>
    <x v="9"/>
    <x v="3"/>
    <x v="3"/>
    <s v="幼科釈謎"/>
    <s v="幼科釋謎"/>
    <s v="沈金鰲"/>
    <x v="3"/>
    <n v="1774"/>
    <m/>
    <s v="https://jicheng.tw/tcm/book/%e5%b9%bc%e7%a7%91%e9%87%8b%e8%ac%8e/index.html"/>
  </r>
  <r>
    <x v="9"/>
    <x v="3"/>
    <x v="3"/>
    <s v="保幼新編"/>
    <s v="保幼新編"/>
    <s v="盧光履"/>
    <x v="3"/>
    <n v="1644"/>
    <m/>
    <s v="https://jicheng.tw/tcm/book/%e4%bf%9d%e5%b9%bc%e6%96%b0%e7%b7%a8/index.html"/>
  </r>
  <r>
    <x v="9"/>
    <x v="3"/>
    <x v="3"/>
    <s v="嬰童百問"/>
    <s v="嬰童百問"/>
    <s v="魯伯嗣"/>
    <x v="5"/>
    <n v="1506"/>
    <m/>
    <s v="https://jicheng.tw/tcm/book/%e5%ac%b0%e7%ab%a5%e7%99%be%e5%95%8f/index.html"/>
  </r>
  <r>
    <x v="9"/>
    <x v="3"/>
    <x v="3"/>
    <s v="活幼心書"/>
    <s v="活幼心書"/>
    <s v="曾世榮"/>
    <x v="4"/>
    <n v="1294"/>
    <m/>
    <s v="https://jicheng.tw/tcm/book/%e6%b4%bb%e5%b9%bc%e5%bf%83%e6%9b%b8/index.html"/>
  </r>
  <r>
    <x v="9"/>
    <x v="3"/>
    <x v="3"/>
    <s v="児科醒"/>
    <s v="兒科醒"/>
    <s v="芝嶼樵客"/>
    <x v="3"/>
    <n v="1813"/>
    <m/>
    <s v="https://jicheng.tw/tcm/book/%e5%85%92%e7%a7%91%e9%86%92/index.html"/>
  </r>
  <r>
    <x v="9"/>
    <x v="3"/>
    <x v="3"/>
    <s v="嬰児論"/>
    <s v="嬰兒論"/>
    <s v="周士禰"/>
    <x v="3"/>
    <n v="1778"/>
    <m/>
    <s v="https://jicheng.tw/tcm/book/%e5%ac%b0%e5%85%92%e8%ab%96/index.html"/>
  </r>
  <r>
    <x v="9"/>
    <x v="3"/>
    <x v="3"/>
    <s v="幼幼新書"/>
    <s v="幼幼新書"/>
    <s v="劉昉"/>
    <x v="2"/>
    <n v="1150"/>
    <m/>
    <s v="https://jicheng.tw/tcm/book/%e5%b9%bc%e5%b9%bc%e6%96%b0%e6%9b%b8/index.html"/>
  </r>
  <r>
    <x v="9"/>
    <x v="3"/>
    <x v="3"/>
    <s v="幼科鉄鏡"/>
    <s v="幼科鐵鏡"/>
    <s v="夏鼎"/>
    <x v="3"/>
    <n v="1695"/>
    <m/>
    <s v="https://jicheng.tw/tcm/book/%e5%b9%bc%e7%a7%91%e9%90%b5%e9%8f%a1/index.html"/>
  </r>
  <r>
    <x v="9"/>
    <x v="3"/>
    <x v="3"/>
    <s v="児科萃精"/>
    <s v="兒科萃精"/>
    <s v="陳守真"/>
    <x v="11"/>
    <n v="1930"/>
    <m/>
    <s v="https://jicheng.tw/tcm/book/%e5%85%92%e7%a7%91%e8%90%83%e7%b2%be/index.html"/>
  </r>
  <r>
    <x v="9"/>
    <x v="3"/>
    <x v="3"/>
    <s v="幼幼集成"/>
    <s v="幼幼集成"/>
    <s v="陳復正"/>
    <x v="3"/>
    <n v="1750"/>
    <m/>
    <s v="https://jicheng.tw/tcm/book/%e5%b9%bc%e5%b9%bc%e9%9b%86%e6%88%90/index.html"/>
  </r>
  <r>
    <x v="9"/>
    <x v="3"/>
    <x v="3"/>
    <s v="幼科類萃"/>
    <s v="幼科類萃"/>
    <s v="王鑾"/>
    <x v="5"/>
    <n v="1534"/>
    <m/>
    <s v="https://jicheng.tw/tcm/book/%e5%b9%bc%e7%a7%91%e9%a1%9e%e8%90%83/index.html"/>
  </r>
  <r>
    <x v="9"/>
    <x v="3"/>
    <x v="3"/>
    <s v="保嬰撮要"/>
    <s v="保嬰撮要"/>
    <s v="薛鎧"/>
    <x v="5"/>
    <n v="1555"/>
    <m/>
    <s v="https://jicheng.tw/tcm/book/%e4%bf%9d%e5%ac%b0%e6%92%ae%e8%a6%81/index.html"/>
  </r>
  <r>
    <x v="9"/>
    <x v="3"/>
    <x v="3"/>
    <s v="幼科指南"/>
    <s v="幼科指南"/>
    <s v="周震"/>
    <x v="3"/>
    <n v="1661"/>
    <m/>
    <s v="https://jicheng.tw/tcm/book/%e5%b9%bc%e7%a7%91%e6%8c%87%e5%8d%97/index.html"/>
  </r>
  <r>
    <x v="9"/>
    <x v="3"/>
    <x v="3"/>
    <s v="小児衛生総微論方"/>
    <s v="小兒衛生總微論方"/>
    <m/>
    <x v="2"/>
    <n v="1156"/>
    <m/>
    <s v="https://jicheng.tw/tcm/book/%e5%b0%8f%e5%85%92%e8%a1%9b%e7%94%9f%e7%b8%bd%e5%be%ae%e8%ab%96%e6%96%b9/index.html"/>
  </r>
  <r>
    <x v="9"/>
    <x v="3"/>
    <x v="3"/>
    <s v="幼科折衷"/>
    <s v="幼科折衷"/>
    <s v="秦昌遇"/>
    <x v="5"/>
    <n v="1641"/>
    <m/>
    <s v="https://jicheng.tw/tcm/book/%e5%b9%bc%e7%a7%91%e6%8a%98%e8%a1%b7/index.html"/>
  </r>
  <r>
    <x v="9"/>
    <x v="3"/>
    <x v="3"/>
    <s v="粥嬰提要説"/>
    <s v="鬻嬰提要說"/>
    <s v="張筱衫"/>
    <x v="3"/>
    <n v="1889"/>
    <m/>
    <s v="https://jicheng.tw/tcm/book/%e9%ac%bb%e5%ac%b0%e6%8f%90%e8%a6%81%e8%aa%aa/index.html"/>
  </r>
  <r>
    <x v="9"/>
    <x v="3"/>
    <x v="3"/>
    <s v="小児薬証直訣"/>
    <s v="小兒藥證直訣"/>
    <s v="錢乙"/>
    <x v="2"/>
    <n v="1119"/>
    <m/>
    <s v="https://jicheng.tw/tcm/book/%e5%b0%8f%e5%85%92%e8%97%a5%e8%ad%89%e7%9b%b4%e8%a8%a3/index.html"/>
  </r>
  <r>
    <x v="9"/>
    <x v="3"/>
    <x v="3"/>
    <s v="小児薬証直訣_1"/>
    <s v="小兒藥證直訣_1"/>
    <s v="錢乙"/>
    <x v="2"/>
    <m/>
    <m/>
    <s v="https://jicheng.tw/tcm/book/%e5%b0%8f%e5%85%92%e8%97%a5%e8%ad%89%e7%9b%b4%e8%a8%a3%5f%31/index.html"/>
  </r>
  <r>
    <x v="9"/>
    <x v="3"/>
    <x v="3"/>
    <s v="銭氏小児直訣"/>
    <s v="錢氏小兒直訣"/>
    <s v="錢乙"/>
    <x v="2"/>
    <m/>
    <m/>
    <s v="https://jicheng.tw/tcm/book/%e9%8c%a2%e6%b0%8f%e5%b0%8f%e5%85%92%e7%9b%b4%e8%a8%a3/index.html"/>
  </r>
  <r>
    <x v="9"/>
    <x v="3"/>
    <x v="3"/>
    <s v="慈幼新書"/>
    <s v="慈幼新書"/>
    <s v="程雲鵬"/>
    <x v="5"/>
    <n v="1704"/>
    <m/>
    <s v="https://jicheng.tw/tcm/book/%e6%85%88%e5%b9%bc%e6%96%b0%e6%9b%b8/index.html"/>
  </r>
  <r>
    <x v="9"/>
    <x v="3"/>
    <x v="3"/>
    <s v="顱顖経"/>
    <s v="顱顖經"/>
    <m/>
    <x v="2"/>
    <n v="960"/>
    <m/>
    <s v="https://jicheng.tw/tcm/book/%e9%a1%b1%e9%a1%96%e7%b6%93/index.html"/>
  </r>
  <r>
    <x v="9"/>
    <x v="3"/>
    <x v="3"/>
    <s v="活幼口議"/>
    <s v="活幼口議"/>
    <s v="曾世榮"/>
    <x v="4"/>
    <n v="1332"/>
    <m/>
    <s v="https://jicheng.tw/tcm/book/%e6%b4%bb%e5%b9%bc%e5%8f%a3%e8%ad%b0/index.html"/>
  </r>
  <r>
    <x v="9"/>
    <x v="3"/>
    <x v="3"/>
    <s v="幼科切要"/>
    <s v="幼科切要"/>
    <s v="王錫鑫"/>
    <x v="3"/>
    <n v="1847"/>
    <m/>
    <s v="https://jicheng.tw/tcm/book/%e5%b9%bc%e7%a7%91%e5%88%87%e8%a6%81/index.html"/>
  </r>
  <r>
    <x v="9"/>
    <x v="3"/>
    <x v="3"/>
    <s v="嬰童類萃"/>
    <s v="嬰童類萃"/>
    <s v="王大倫"/>
    <x v="5"/>
    <n v="1622"/>
    <m/>
    <s v="https://jicheng.tw/tcm/book/%e5%ac%b0%e7%ab%a5%e9%a1%9e%e8%90%83/index.html"/>
  </r>
  <r>
    <x v="9"/>
    <x v="3"/>
    <x v="3"/>
    <s v="慈幼便覧"/>
    <s v="慈幼便覽"/>
    <m/>
    <x v="1"/>
    <m/>
    <m/>
    <s v="https://jicheng.tw/tcm/book/%e6%85%88%e5%b9%bc%e4%be%bf%e8%a6%bd/index.html"/>
  </r>
  <r>
    <x v="9"/>
    <x v="3"/>
    <x v="3"/>
    <s v="陳氏幼科秘訣"/>
    <s v="陳氏幼科秘訣"/>
    <m/>
    <x v="1"/>
    <m/>
    <m/>
    <s v="https://jicheng.tw/tcm/book/%e9%99%b3%e6%b0%8f%e5%b9%bc%e7%a7%91%e7%a7%98%e8%a8%a3/index.html"/>
  </r>
  <r>
    <x v="9"/>
    <x v="3"/>
    <x v="3"/>
    <s v="医宗金鑑·幼科心法要訣"/>
    <s v="醫宗金鑑·幼科心法要訣"/>
    <s v="吳謙等"/>
    <x v="3"/>
    <n v="1742"/>
    <m/>
    <s v="https://jicheng.tw/tcm/book/%e9%86%ab%e5%ae%97%e9%87%91%e9%91%91/%e5%b9%bc%e7%a7%91%e5%bf%83%e6%b3%95%e8%a6%81%e8%a8%a3/index.html"/>
  </r>
  <r>
    <x v="9"/>
    <x v="3"/>
    <x v="3"/>
    <s v="保嬰金鏡録"/>
    <s v="保嬰金鏡錄"/>
    <s v="撰人不詳，薛己注"/>
    <x v="5"/>
    <n v="1555"/>
    <m/>
    <s v="https://jicheng.tw/tcm/book/%e4%bf%9d%e5%ac%b0%e9%87%91%e9%8f%a1%e9%8c%84/index.html"/>
  </r>
  <r>
    <x v="9"/>
    <x v="3"/>
    <x v="3"/>
    <s v="原幼心法"/>
    <s v="原幼心法"/>
    <s v="彭用光"/>
    <x v="5"/>
    <n v="1505"/>
    <m/>
    <s v="https://jicheng.tw/tcm/book/%e5%8e%9f%e5%b9%bc%e5%bf%83%e6%b3%95/index.html"/>
  </r>
  <r>
    <x v="9"/>
    <x v="3"/>
    <x v="3"/>
    <s v="小児諸証補遺"/>
    <s v="小兒諸證補遺"/>
    <s v="張昶"/>
    <x v="5"/>
    <n v="1636"/>
    <m/>
    <s v="https://jicheng.tw/tcm/book/%e5%b0%8f%e5%85%92%e8%ab%b8%e8%ad%89%e8%a3%9c%e9%81%ba/index.html"/>
  </r>
  <r>
    <x v="9"/>
    <x v="3"/>
    <x v="3"/>
    <s v="大医馬氏小児脈珍科"/>
    <s v="大醫馬氏小兒脈珍科"/>
    <m/>
    <x v="1"/>
    <m/>
    <m/>
    <s v="https://jicheng.tw/tcm/book/%e5%a4%a7%e9%86%ab%e9%a6%ac%e6%b0%8f%e5%b0%8f%e5%85%92%e8%84%88%e7%8f%8d%e7%a7%91/index.html"/>
  </r>
  <r>
    <x v="9"/>
    <x v="3"/>
    <x v="3"/>
    <s v="幼科折衷秘伝真本"/>
    <s v="幼科折衷秘傳真本"/>
    <m/>
    <x v="1"/>
    <m/>
    <m/>
    <s v="https://jicheng.tw/tcm/book/%e5%b9%bc%e7%a7%91%e6%8a%98%e8%a1%b7%e7%a7%98%e5%82%b3%e7%9c%9f%e6%9c%ac/index.html"/>
  </r>
  <r>
    <x v="9"/>
    <x v="3"/>
    <x v="3"/>
    <s v="誠求集"/>
    <s v="誠求集"/>
    <m/>
    <x v="1"/>
    <m/>
    <m/>
    <s v="https://jicheng.tw/tcm/book/%e8%aa%a0%e6%b1%82%e9%9b%86/index.html"/>
  </r>
  <r>
    <x v="9"/>
    <x v="3"/>
    <x v="3"/>
    <s v="幼科彙訣直解"/>
    <s v="幼科彙訣直解"/>
    <m/>
    <x v="1"/>
    <m/>
    <m/>
    <s v="https://jicheng.tw/tcm/book/%e5%b9%bc%e7%a7%91%e5%bd%99%e8%a8%a3%e7%9b%b4%e8%a7%a3/index.html"/>
  </r>
  <r>
    <x v="9"/>
    <x v="3"/>
    <x v="3"/>
    <s v="証治準縄·幼科"/>
    <s v="證治準繩·幼科"/>
    <s v="王肯堂"/>
    <x v="5"/>
    <n v="1602"/>
    <m/>
    <s v="https://jicheng.tw/tcm/book/%e8%ad%89%e6%b2%bb%e6%ba%96%e7%b9%a9/%e5%b9%bc%e7%a7%91/index.html"/>
  </r>
  <r>
    <x v="9"/>
    <x v="3"/>
    <x v="3"/>
    <s v="彤園医書·小児科"/>
    <s v="彤園醫書·小兒科"/>
    <s v="鄭玉壇"/>
    <x v="3"/>
    <n v="1795"/>
    <m/>
    <s v="https://jicheng.tw/tcm/book/%e5%bd%a4%e5%9c%92%e9%86%ab%e6%9b%b8/%e5%b0%8f%e5%85%92%e7%a7%91/index.html"/>
  </r>
  <r>
    <x v="9"/>
    <x v="3"/>
    <x v="3"/>
    <s v="金匱啓鑰·幼科"/>
    <s v="金匱啟鑰·幼科"/>
    <s v="黃朝坊"/>
    <x v="3"/>
    <n v="1804"/>
    <m/>
    <s v="https://jicheng.tw/tcm/book/%e9%87%91%e5%8c%b1%e5%95%9f%e9%91%b0/%e5%b9%bc%e7%a7%91/index.html"/>
  </r>
  <r>
    <x v="9"/>
    <x v="3"/>
    <x v="3"/>
    <s v="幼幼集"/>
    <s v="幼幼集"/>
    <s v="孟繼孔"/>
    <x v="5"/>
    <n v="1593"/>
    <m/>
    <s v="https://jicheng.tw/tcm/book/%e5%b9%bc%e5%b9%bc%e9%9b%86/index.html"/>
  </r>
  <r>
    <x v="9"/>
    <x v="3"/>
    <x v="3"/>
    <s v="幼科証治大全"/>
    <s v="幼科證治大全"/>
    <s v="下津壽泉"/>
    <x v="1"/>
    <m/>
    <m/>
    <s v="https://jicheng.tw/tcm/book/%e5%b9%bc%e7%a7%91%e8%ad%89%e6%b2%bb%e5%a4%a7%e5%85%a8/index.html"/>
  </r>
  <r>
    <x v="9"/>
    <x v="3"/>
    <x v="3"/>
    <s v="中国児科医鑑"/>
    <s v="中國兒科醫鑑"/>
    <s v="大塜敬節"/>
    <x v="1"/>
    <n v="1936"/>
    <m/>
    <s v="https://jicheng.tw/tcm/book/%e4%b8%ad%e5%9c%8b%e5%85%92%e7%a7%91%e9%86%ab%e9%91%91/index.html"/>
  </r>
  <r>
    <x v="9"/>
    <x v="3"/>
    <x v="3"/>
    <s v="育嬰家秘"/>
    <s v="育嬰家秘"/>
    <m/>
    <x v="1"/>
    <m/>
    <m/>
    <s v="https://jicheng.tw/tcm/book/%e8%82%b2%e5%ac%b0%e5%ae%b6%e7%a7%98/index.html"/>
  </r>
  <r>
    <x v="9"/>
    <x v="3"/>
    <x v="3"/>
    <s v="万氏秘伝片玉心書"/>
    <s v="萬氏秘傳片玉心書"/>
    <s v="萬全"/>
    <x v="5"/>
    <n v="1654"/>
    <m/>
    <s v="https://jicheng.tw/tcm/book/%e8%90%ac%e6%b0%8f%e7%a7%98%e5%82%b3%e7%89%87%e7%8e%89%e5%bf%83%e6%9b%b8/index.html"/>
  </r>
  <r>
    <x v="9"/>
    <x v="3"/>
    <x v="3"/>
    <s v="傅氏児科"/>
    <s v="傅氏兒科"/>
    <m/>
    <x v="1"/>
    <m/>
    <m/>
    <s v="https://jicheng.tw/tcm/book/%e5%82%85%e6%b0%8f%e5%85%92%e7%a7%91/index.html"/>
  </r>
  <r>
    <x v="9"/>
    <x v="3"/>
    <x v="3"/>
    <s v="麻疹闡註"/>
    <s v="麻疹闡註"/>
    <s v="張霞谿"/>
    <x v="3"/>
    <n v="1840"/>
    <m/>
    <s v="https://jicheng.tw/tcm/book/%e9%ba%bb%e7%96%b9%e9%97%a1%e8%a8%bb/index.html"/>
  </r>
  <r>
    <x v="9"/>
    <x v="3"/>
    <x v="3"/>
    <s v="麻科活人全書"/>
    <s v="麻科活人全書"/>
    <s v="謝玉瓊"/>
    <x v="3"/>
    <n v="1748"/>
    <m/>
    <s v="https://jicheng.tw/tcm/book/%e9%ba%bb%e7%a7%91%e6%b4%bb%e4%ba%ba%e5%85%a8%e6%9b%b8/index.html"/>
  </r>
  <r>
    <x v="9"/>
    <x v="3"/>
    <x v="3"/>
    <s v="医宗金鑑·痘疹心法要訣"/>
    <s v="醫宗金鑑·痘疹心法要訣"/>
    <s v="吳謙等"/>
    <x v="3"/>
    <n v="1742"/>
    <m/>
    <s v="https://jicheng.tw/tcm/book/%e9%86%ab%e5%ae%97%e9%87%91%e9%91%91/%e7%97%98%e7%96%b9%e5%bf%83%e6%b3%95%e8%a6%81%e8%a8%a3/index.html"/>
  </r>
  <r>
    <x v="9"/>
    <x v="3"/>
    <x v="3"/>
    <s v="痧疹輯要"/>
    <s v="痧疹輯要"/>
    <s v="葉霖"/>
    <x v="3"/>
    <n v="1890"/>
    <m/>
    <s v="https://jicheng.tw/tcm/book/%e7%97%a7%e7%96%b9%e8%bc%af%e8%a6%81/index.html"/>
  </r>
  <r>
    <x v="9"/>
    <x v="3"/>
    <x v="3"/>
    <s v="原瘄要論"/>
    <s v="原瘄要論"/>
    <s v="鄞縣袁氏撰"/>
    <x v="3"/>
    <n v="1828"/>
    <m/>
    <s v="https://jicheng.tw/tcm/book/%e5%8e%9f%e7%98%84%e8%a6%81%e8%ab%96/index.html"/>
  </r>
  <r>
    <x v="9"/>
    <x v="3"/>
    <x v="3"/>
    <s v="専治麻痧初編"/>
    <s v="專治麻痧初編"/>
    <s v="凌德"/>
    <x v="3"/>
    <n v="1890"/>
    <m/>
    <s v="https://jicheng.tw/tcm/book/%e5%b0%88%e6%b2%bb%e9%ba%bb%e7%97%a7%e5%88%9d%e7%b7%a8/index.html"/>
  </r>
  <r>
    <x v="9"/>
    <x v="3"/>
    <x v="3"/>
    <s v="経験麻科"/>
    <s v="經驗麻科"/>
    <m/>
    <x v="1"/>
    <m/>
    <m/>
    <s v="https://jicheng.tw/tcm/book/%e7%b6%93%e9%a9%97%e9%ba%bb%e7%a7%91/index.html"/>
  </r>
  <r>
    <x v="9"/>
    <x v="3"/>
    <x v="3"/>
    <s v="小児痘疹方論"/>
    <s v="小兒痘疹方論"/>
    <s v="陳文中"/>
    <x v="9"/>
    <n v="1253"/>
    <m/>
    <s v="https://jicheng.tw/tcm/book/%e5%b0%8f%e5%85%92%e7%97%98%e7%96%b9%e6%96%b9%e8%ab%96/index.html"/>
  </r>
  <r>
    <x v="9"/>
    <x v="3"/>
    <x v="3"/>
    <s v="麻疹備要方論"/>
    <s v="麻疹備要方論"/>
    <s v="吳硯丞"/>
    <x v="3"/>
    <n v="1853"/>
    <m/>
    <s v="https://jicheng.tw/tcm/book/%e9%ba%bb%e7%96%b9%e5%82%99%e8%a6%81%e6%96%b9%e8%ab%96/index.html"/>
  </r>
  <r>
    <x v="9"/>
    <x v="3"/>
    <x v="3"/>
    <s v="医宗金鑑·幼科種痘心法要旨"/>
    <s v="醫宗金鑑·幼科種痘心法要旨"/>
    <s v="吳謙等"/>
    <x v="3"/>
    <n v="1742"/>
    <m/>
    <s v="https://jicheng.tw/tcm/book/%e9%86%ab%e5%ae%97%e9%87%91%e9%91%91/%e5%b9%bc%e7%a7%91%e7%a8%ae%e7%97%98%e5%bf%83%e6%b3%95%e8%a6%81%e6%97%a8/index.html"/>
  </r>
  <r>
    <x v="9"/>
    <x v="3"/>
    <x v="3"/>
    <s v="陳氏小児痘疹方論"/>
    <s v="陳氏小兒痘疹方論"/>
    <s v="陳文中"/>
    <x v="2"/>
    <m/>
    <m/>
    <s v="https://jicheng.tw/tcm/book/%e9%99%b3%e6%b0%8f%e5%b0%8f%e5%85%92%e7%97%98%e7%96%b9%e6%96%b9%e8%ab%96/index.html"/>
  </r>
  <r>
    <x v="9"/>
    <x v="3"/>
    <x v="3"/>
    <s v="新訂痘疹済世真詮"/>
    <s v="新訂痘疹濟世真詮"/>
    <m/>
    <x v="1"/>
    <m/>
    <m/>
    <s v="https://jicheng.tw/tcm/book/%e6%96%b0%e8%a8%82%e7%97%98%e7%96%b9%e6%bf%9f%e4%b8%96%e7%9c%9f%e8%a9%ae/index.html"/>
  </r>
  <r>
    <x v="9"/>
    <x v="3"/>
    <x v="3"/>
    <s v="麻疹専論"/>
    <s v="麻疹專論"/>
    <m/>
    <x v="1"/>
    <m/>
    <m/>
    <s v="https://jicheng.tw/tcm/book/%e9%ba%bb%e7%96%b9%e5%b0%88%e8%ab%96/index.html"/>
  </r>
  <r>
    <x v="9"/>
    <x v="3"/>
    <x v="3"/>
    <s v="痘疹精詳"/>
    <s v="痘疹精詳"/>
    <m/>
    <x v="1"/>
    <m/>
    <m/>
    <s v="https://jicheng.tw/tcm/book/%e7%97%98%e7%96%b9%e7%b2%be%e8%a9%b3/index.html"/>
  </r>
  <r>
    <x v="9"/>
    <x v="3"/>
    <x v="3"/>
    <s v="痘科輯要"/>
    <s v="痘科輯要"/>
    <s v="文起"/>
    <x v="3"/>
    <n v="1801"/>
    <m/>
    <s v="https://jicheng.tw/tcm/book/%e7%97%98%e7%a7%91%e8%bc%af%e8%a6%81/index.html"/>
  </r>
  <r>
    <x v="9"/>
    <x v="3"/>
    <x v="3"/>
    <s v="幼科驚搐門"/>
    <s v="幼科驚搐門"/>
    <s v="樓擁千"/>
    <x v="3"/>
    <m/>
    <m/>
    <s v="https://jicheng.tw/tcm/book/%e5%b9%bc%e7%a7%91%e9%a9%9a%e6%90%90%e9%96%80/index.html"/>
  </r>
  <r>
    <x v="9"/>
    <x v="3"/>
    <x v="3"/>
    <s v="疹科類編"/>
    <s v="疹科類編"/>
    <s v="武之望"/>
    <x v="5"/>
    <n v="1617"/>
    <m/>
    <s v="https://jicheng.tw/tcm/book/%e7%96%b9%e7%a7%91%e9%a1%9e%e7%b7%a8/index.html"/>
  </r>
  <r>
    <x v="9"/>
    <x v="3"/>
    <x v="3"/>
    <s v="痘治理弁"/>
    <s v="痘治理辨"/>
    <s v="汪機"/>
    <x v="5"/>
    <n v="1531"/>
    <m/>
    <s v="https://jicheng.tw/tcm/book/%e7%97%98%e6%b2%bb%e7%90%86%e8%be%a8/index.html"/>
  </r>
  <r>
    <x v="9"/>
    <x v="3"/>
    <x v="3"/>
    <s v="痘疹生民切要"/>
    <s v="痘疹生民切要"/>
    <s v="喻昌"/>
    <x v="3"/>
    <n v="1664"/>
    <m/>
    <s v="https://jicheng.tw/tcm/book/%e7%97%98%e7%96%b9%e7%94%9f%e6%b0%91%e5%88%87%e8%a6%81/index.html"/>
  </r>
  <r>
    <x v="9"/>
    <x v="3"/>
    <x v="3"/>
    <s v="片玉痘疹"/>
    <s v="片玉痘疹"/>
    <m/>
    <x v="1"/>
    <m/>
    <m/>
    <s v="https://jicheng.tw/tcm/book/%e7%89%87%e7%8e%89%e7%97%98%e7%96%b9/index.html"/>
  </r>
  <r>
    <x v="9"/>
    <x v="3"/>
    <x v="3"/>
    <s v="痘疹心法"/>
    <s v="痘疹心法"/>
    <s v="萬全"/>
    <x v="5"/>
    <n v="1781"/>
    <m/>
    <s v="https://jicheng.tw/tcm/book/%e7%97%98%e7%96%b9%e5%bf%83%e6%b3%95/index.html"/>
  </r>
  <r>
    <x v="9"/>
    <x v="3"/>
    <x v="3"/>
    <s v="小児推拿広意"/>
    <s v="小兒推拿廣意"/>
    <s v="熊應雄"/>
    <x v="3"/>
    <n v="1676"/>
    <m/>
    <s v="https://jicheng.tw/tcm/book/%e5%b0%8f%e5%85%92%e6%8e%a8%e6%8b%bf%e5%bb%a3%e6%84%8f/index.html"/>
  </r>
  <r>
    <x v="9"/>
    <x v="3"/>
    <x v="3"/>
    <s v="幼科推拿秘書"/>
    <s v="幼科推拿秘書"/>
    <s v="駱如龍"/>
    <x v="3"/>
    <n v="1691"/>
    <m/>
    <s v="https://jicheng.tw/tcm/book/%e5%b9%bc%e7%a7%91%e6%8e%a8%e6%8b%bf%e7%a7%98%e6%9b%b8/index.html"/>
  </r>
  <r>
    <x v="9"/>
    <x v="3"/>
    <x v="3"/>
    <s v="小児推拿方脈活嬰秘旨全書"/>
    <s v="小兒推拿方脈活嬰秘旨全書"/>
    <s v="龔廷賢"/>
    <x v="5"/>
    <n v="1604"/>
    <m/>
    <s v="https://jicheng.tw/tcm/book/%e5%b0%8f%e5%85%92%e6%8e%a8%e6%8b%bf%e6%96%b9%e8%84%88%e6%b4%bb%e5%ac%b0%e7%a7%98%e6%97%a8%e5%85%a8%e6%9b%b8/index.html"/>
  </r>
  <r>
    <x v="9"/>
    <x v="3"/>
    <x v="3"/>
    <s v="少小嬰孺方"/>
    <s v="少小嬰孺方"/>
    <s v="孫思邈"/>
    <x v="7"/>
    <m/>
    <m/>
    <s v="https://jicheng.tw/tcm/book/%e5%b0%91%e5%b0%8f%e5%ac%b0%e5%ad%ba%e6%96%b9/index.html"/>
  </r>
  <r>
    <x v="9"/>
    <x v="3"/>
    <x v="3"/>
    <s v="仁端録"/>
    <s v="仁端錄"/>
    <s v="徐謙"/>
    <x v="5"/>
    <m/>
    <m/>
    <s v="https://jicheng.tw/tcm/book/%e4%bb%81%e7%ab%af%e9%8c%84/index.html"/>
  </r>
  <r>
    <x v="9"/>
    <x v="3"/>
    <x v="3"/>
    <s v="保赤新書"/>
    <s v="保赤新書"/>
    <s v="惲鐵樵"/>
    <x v="3"/>
    <m/>
    <m/>
    <s v="https://jicheng.tw/tcm/book/%e4%bf%9d%e8%b5%a4%e6%96%b0%e6%9b%b8/index.html"/>
  </r>
  <r>
    <x v="10"/>
    <x v="3"/>
    <x v="3"/>
    <s v="外科証治全書"/>
    <s v="外科證治全書"/>
    <s v="許克昌"/>
    <x v="3"/>
    <n v="1831"/>
    <m/>
    <s v="https://jicheng.tw/tcm/book/%e5%a4%96%e7%a7%91%e8%ad%89%e6%b2%bb%e5%85%a8%e6%9b%b8/index.html"/>
  </r>
  <r>
    <x v="10"/>
    <x v="3"/>
    <x v="3"/>
    <s v="外科十法"/>
    <s v="外科十法"/>
    <s v="程國彭"/>
    <x v="3"/>
    <n v="1733"/>
    <m/>
    <s v="https://jicheng.tw/tcm/book/%e5%a4%96%e7%a7%91%e5%8d%81%e6%b3%95/index.html"/>
  </r>
  <r>
    <x v="10"/>
    <x v="3"/>
    <x v="3"/>
    <s v="衛済宝書"/>
    <s v="衛濟寶書"/>
    <s v="東軒居士"/>
    <x v="2"/>
    <s v="1100-1170"/>
    <m/>
    <s v="https://jicheng.tw/tcm/book/%e8%a1%9b%e6%bf%9f%e5%af%b6%e6%9b%b8/index.html"/>
  </r>
  <r>
    <x v="10"/>
    <x v="3"/>
    <x v="3"/>
    <s v="仙伝外科集験方"/>
    <s v="仙傳外科集驗方"/>
    <s v="趙宜真"/>
    <x v="22"/>
    <n v="1382"/>
    <m/>
    <s v="https://jicheng.tw/tcm/book/%e4%bb%99%e5%82%b3%e5%a4%96%e7%a7%91%e9%9b%86%e9%a9%97%e6%96%b9/index.html"/>
  </r>
  <r>
    <x v="10"/>
    <x v="3"/>
    <x v="3"/>
    <s v="外科精義"/>
    <s v="外科精義"/>
    <s v="齊德之"/>
    <x v="4"/>
    <n v="1335"/>
    <m/>
    <s v="https://jicheng.tw/tcm/book/%e5%a4%96%e7%a7%91%e7%b2%be%e7%be%a9/index.html"/>
  </r>
  <r>
    <x v="10"/>
    <x v="3"/>
    <x v="3"/>
    <s v="外科集験方"/>
    <s v="外科集驗方"/>
    <s v="周文采"/>
    <x v="5"/>
    <n v="1378"/>
    <m/>
    <s v="https://jicheng.tw/tcm/book/%e5%a4%96%e7%a7%91%e9%9b%86%e9%a9%97%e6%96%b9/index.html"/>
  </r>
  <r>
    <x v="10"/>
    <x v="3"/>
    <x v="3"/>
    <s v="秘伝外科方"/>
    <s v="秘傳外科方"/>
    <s v="趙宜真"/>
    <x v="5"/>
    <n v="1395"/>
    <m/>
    <s v="https://jicheng.tw/tcm/book/%e7%a7%98%e5%82%b3%e5%a4%96%e7%a7%91%e6%96%b9/index.html"/>
  </r>
  <r>
    <x v="10"/>
    <x v="3"/>
    <x v="3"/>
    <s v="外科伝薪集"/>
    <s v="外科傳薪集"/>
    <s v="馬培之"/>
    <x v="3"/>
    <n v="1892"/>
    <m/>
    <s v="https://jicheng.tw/tcm/book/%e5%a4%96%e7%a7%91%e5%82%b3%e8%96%aa%e9%9b%86/index.html"/>
  </r>
  <r>
    <x v="10"/>
    <x v="3"/>
    <x v="3"/>
    <s v="医宗金鑑·外科心法要訣"/>
    <s v="醫宗金鑑·外科心法要訣"/>
    <s v="吳謙等"/>
    <x v="3"/>
    <n v="1742"/>
    <m/>
    <s v="https://jicheng.tw/tcm/book/%e9%86%ab%e5%ae%97%e9%87%91%e9%91%91/%e5%a4%96%e7%a7%91%e5%bf%83%e6%b3%95%e8%a6%81%e8%a8%a3/index.html"/>
  </r>
  <r>
    <x v="10"/>
    <x v="3"/>
    <x v="3"/>
    <s v="外科医鏡"/>
    <s v="外科醫鏡"/>
    <s v="高思敬"/>
    <x v="3"/>
    <n v="1895"/>
    <m/>
    <s v="https://jicheng.tw/tcm/book/%e5%a4%96%e7%a7%91%e9%86%ab%e9%8f%a1/index.html"/>
  </r>
  <r>
    <x v="10"/>
    <x v="3"/>
    <x v="3"/>
    <s v="外科大成"/>
    <s v="外科大成"/>
    <s v="祁坤"/>
    <x v="3"/>
    <n v="1665"/>
    <m/>
    <s v="https://jicheng.tw/tcm/book/%e5%a4%96%e7%a7%91%e5%a4%a7%e6%88%90/index.html"/>
  </r>
  <r>
    <x v="10"/>
    <x v="3"/>
    <x v="3"/>
    <s v="外科大成_1"/>
    <s v="外科大成_1"/>
    <s v="祁坤"/>
    <x v="3"/>
    <m/>
    <m/>
    <s v="https://jicheng.tw/tcm/book/%e5%a4%96%e7%a7%91%e5%a4%a7%e6%88%90%5f%31/index.html"/>
  </r>
  <r>
    <x v="10"/>
    <x v="3"/>
    <x v="3"/>
    <s v="外科精要"/>
    <s v="外科精要"/>
    <s v="陳自明"/>
    <x v="2"/>
    <n v="1263"/>
    <m/>
    <s v="https://jicheng.tw/tcm/book/%e5%a4%96%e7%a7%91%e7%b2%be%e8%a6%81/index.html"/>
  </r>
  <r>
    <x v="10"/>
    <x v="3"/>
    <x v="3"/>
    <s v="瘍医大全"/>
    <s v="瘍醫大全"/>
    <s v="顧世澄"/>
    <x v="3"/>
    <n v="1760"/>
    <m/>
    <s v="https://jicheng.tw/tcm/book/%e7%98%8d%e9%86%ab%e5%a4%a7%e5%85%a8/index.html"/>
  </r>
  <r>
    <x v="10"/>
    <x v="3"/>
    <x v="3"/>
    <s v="外科正宗"/>
    <s v="外科正宗"/>
    <s v="陳實功"/>
    <x v="5"/>
    <n v="1617"/>
    <m/>
    <s v="https://jicheng.tw/tcm/book/%e5%a4%96%e7%a7%91%e6%ad%a3%e5%ae%97/index.html"/>
  </r>
  <r>
    <x v="10"/>
    <x v="3"/>
    <x v="3"/>
    <s v="外科正宗_1"/>
    <s v="外科正宗_1"/>
    <s v="陳實功"/>
    <x v="5"/>
    <n v="1617"/>
    <m/>
    <s v="https://jicheng.tw/tcm/book/%e5%a4%96%e7%a7%91%e6%ad%a3%e5%ae%97%5f%31/index.html"/>
  </r>
  <r>
    <x v="10"/>
    <x v="3"/>
    <x v="3"/>
    <s v="外科選要"/>
    <s v="外科選要"/>
    <s v="唐黌"/>
    <x v="3"/>
    <n v="1776"/>
    <m/>
    <s v="https://jicheng.tw/tcm/book/%e5%a4%96%e7%a7%91%e9%81%b8%e8%a6%81/index.html"/>
  </r>
  <r>
    <x v="10"/>
    <x v="3"/>
    <x v="3"/>
    <s v="外科方外奇方"/>
    <s v="外科方外奇方"/>
    <s v="凌奐"/>
    <x v="3"/>
    <n v="1893"/>
    <m/>
    <s v="https://jicheng.tw/tcm/book/%e5%a4%96%e7%a7%91%e6%96%b9%e5%a4%96%e5%a5%87%e6%96%b9/index.html"/>
  </r>
  <r>
    <x v="10"/>
    <x v="3"/>
    <x v="3"/>
    <s v="外科全生集"/>
    <s v="外科全生集"/>
    <s v="王洪緒"/>
    <x v="3"/>
    <n v="1740"/>
    <m/>
    <s v="https://jicheng.tw/tcm/book/%e5%a4%96%e7%a7%91%e5%85%a8%e7%94%9f%e9%9b%86/index.html"/>
  </r>
  <r>
    <x v="10"/>
    <x v="3"/>
    <x v="3"/>
    <s v="外科十三方考"/>
    <s v="外科十三方考"/>
    <s v="張覺人"/>
    <x v="5"/>
    <m/>
    <m/>
    <s v="https://jicheng.tw/tcm/book/%e5%a4%96%e7%a7%91%e5%8d%81%e4%b8%89%e6%96%b9%e8%80%83/index.html"/>
  </r>
  <r>
    <x v="10"/>
    <x v="3"/>
    <x v="3"/>
    <s v="青囊秘訣"/>
    <s v="青囊秘訣"/>
    <m/>
    <x v="1"/>
    <n v="1673"/>
    <m/>
    <s v="https://jicheng.tw/tcm/book/%e9%9d%92%e5%9b%8a%e7%a7%98%e8%a8%a3/index.html"/>
  </r>
  <r>
    <x v="10"/>
    <x v="3"/>
    <x v="3"/>
    <s v="万氏秘伝外科心法"/>
    <s v="萬氏秘傳外科心法"/>
    <m/>
    <x v="1"/>
    <m/>
    <m/>
    <s v="https://jicheng.tw/tcm/book/%e8%90%ac%e6%b0%8f%e7%a7%98%e5%82%b3%e5%a4%96%e7%a7%91%e5%bf%83%e6%b3%95/index.html"/>
  </r>
  <r>
    <x v="10"/>
    <x v="3"/>
    <x v="3"/>
    <s v="外科啓玄"/>
    <s v="外科啟玄"/>
    <s v="申拱辰"/>
    <x v="5"/>
    <n v="1604"/>
    <m/>
    <s v="https://jicheng.tw/tcm/book/%e5%a4%96%e7%a7%91%e5%95%9f%e7%8e%84/index.html"/>
  </r>
  <r>
    <x v="10"/>
    <x v="3"/>
    <x v="3"/>
    <s v="外科枢要"/>
    <s v="外科樞要"/>
    <s v="薛己"/>
    <x v="5"/>
    <n v="1545"/>
    <m/>
    <s v="https://jicheng.tw/tcm/book/%e5%a4%96%e7%a7%91%e6%a8%9e%e8%a6%81/index.html"/>
  </r>
  <r>
    <x v="10"/>
    <x v="3"/>
    <x v="3"/>
    <s v="外科証治秘要"/>
    <s v="外科證治秘要"/>
    <m/>
    <x v="1"/>
    <m/>
    <m/>
    <s v="https://jicheng.tw/tcm/book/%e5%a4%96%e7%a7%91%e8%ad%89%e6%b2%bb%e7%a7%98%e8%a6%81/index.html"/>
  </r>
  <r>
    <x v="10"/>
    <x v="3"/>
    <x v="3"/>
    <s v="外科心法"/>
    <s v="外科心法"/>
    <s v="薛己"/>
    <x v="5"/>
    <n v="1528"/>
    <m/>
    <s v="https://jicheng.tw/tcm/book/%e5%a4%96%e7%a7%91%e5%bf%83%e6%b3%95/index.html"/>
  </r>
  <r>
    <x v="10"/>
    <x v="3"/>
    <x v="3"/>
    <s v="青囊全集秘旨"/>
    <s v="青囊全集秘旨"/>
    <m/>
    <x v="1"/>
    <m/>
    <m/>
    <s v="https://jicheng.tw/tcm/book/%e9%9d%92%e5%9b%8a%e5%85%a8%e9%9b%86%e7%a7%98%e6%97%a8/index.html"/>
  </r>
  <r>
    <x v="10"/>
    <x v="3"/>
    <x v="3"/>
    <s v="外科備要"/>
    <s v="外科備要"/>
    <s v="易鳳翥"/>
    <x v="3"/>
    <n v="1904"/>
    <m/>
    <s v="https://jicheng.tw/tcm/book/%e5%a4%96%e7%a7%91%e5%82%99%e8%a6%81/index.html"/>
  </r>
  <r>
    <x v="10"/>
    <x v="3"/>
    <x v="3"/>
    <s v="証治準縄·瘍医"/>
    <s v="證治準繩·瘍醫"/>
    <s v="王肯堂"/>
    <x v="5"/>
    <n v="1602"/>
    <m/>
    <s v="https://jicheng.tw/tcm/book/%e8%ad%89%e6%b2%bb%e6%ba%96%e7%b9%a9/%e7%98%8d%e9%86%ab/index.html"/>
  </r>
  <r>
    <x v="10"/>
    <x v="3"/>
    <x v="3"/>
    <s v="彤園医書·外科"/>
    <s v="彤園醫書·外科"/>
    <s v="鄭玉壇"/>
    <x v="3"/>
    <n v="1795"/>
    <m/>
    <s v="https://jicheng.tw/tcm/book/%e5%bd%a4%e5%9c%92%e9%86%ab%e6%9b%b8/%e5%a4%96%e7%a7%91/index.html"/>
  </r>
  <r>
    <x v="10"/>
    <x v="3"/>
    <x v="3"/>
    <s v="洞天奥旨"/>
    <s v="洞天奧旨"/>
    <s v="陳士鐸"/>
    <x v="3"/>
    <n v="1694"/>
    <m/>
    <s v="https://jicheng.tw/tcm/book/%e6%b4%9e%e5%a4%a9%e5%a5%a7%e6%97%a8/index.html"/>
  </r>
  <r>
    <x v="10"/>
    <x v="3"/>
    <x v="3"/>
    <s v="外科学話義"/>
    <s v="外科學話義"/>
    <m/>
    <x v="1"/>
    <m/>
    <m/>
    <s v="https://jicheng.tw/tcm/book/%e5%a4%96%e7%a7%91%e5%ad%b8%e8%a9%b1%e7%be%a9/index.html"/>
  </r>
  <r>
    <x v="10"/>
    <x v="3"/>
    <x v="3"/>
    <s v="傅氏外科"/>
    <s v="傅氏外科"/>
    <m/>
    <x v="1"/>
    <m/>
    <m/>
    <s v="https://jicheng.tw/tcm/book/%e5%82%85%e6%b0%8f%e5%a4%96%e7%a7%91/index.html"/>
  </r>
  <r>
    <x v="10"/>
    <x v="3"/>
    <x v="3"/>
    <s v="新刻図形枕蔵外科"/>
    <s v="新刻圖形枕藏外科"/>
    <m/>
    <x v="1"/>
    <m/>
    <m/>
    <s v="https://jicheng.tw/tcm/book/%e6%96%b0%e5%88%bb%e5%9c%96%e5%bd%a2%e6%9e%95%e8%97%8f%e5%a4%96%e7%a7%91/index.html"/>
  </r>
  <r>
    <x v="10"/>
    <x v="3"/>
    <x v="3"/>
    <s v="痰癧法門"/>
    <s v="痰癧法門"/>
    <s v="李子毅"/>
    <x v="11"/>
    <n v="1918"/>
    <m/>
    <s v="https://jicheng.tw/tcm/book/%e7%97%b0%e7%99%a7%e6%b3%95%e9%96%80/index.html"/>
  </r>
  <r>
    <x v="10"/>
    <x v="3"/>
    <x v="3"/>
    <s v="瘍科綱要"/>
    <s v="瘍科綱要"/>
    <s v="張壽頤"/>
    <x v="11"/>
    <m/>
    <m/>
    <s v="https://jicheng.tw/tcm/book/%e7%98%8d%e7%a7%91%e7%b6%b1%e8%a6%81/index.html"/>
  </r>
  <r>
    <x v="10"/>
    <x v="3"/>
    <x v="3"/>
    <s v="解囲元薮"/>
    <s v="解圍元藪"/>
    <s v="沈之問"/>
    <x v="5"/>
    <n v="1550"/>
    <m/>
    <s v="https://jicheng.tw/tcm/book/%e8%a7%a3%e5%9c%8d%e5%85%83%e8%97%aa/index.html"/>
  </r>
  <r>
    <x v="10"/>
    <x v="3"/>
    <x v="3"/>
    <s v="瘍科捷径"/>
    <s v="瘍科捷徑"/>
    <s v="楊成博"/>
    <x v="3"/>
    <n v="1831"/>
    <m/>
    <s v="https://jicheng.tw/tcm/book/%e7%98%8d%e7%a7%91%e6%8d%b7%e5%be%91/index.html"/>
  </r>
  <r>
    <x v="10"/>
    <x v="3"/>
    <x v="3"/>
    <s v="集験背疽方"/>
    <s v="集驗背疽方"/>
    <s v="李迅"/>
    <x v="2"/>
    <n v="1196"/>
    <m/>
    <s v="https://jicheng.tw/tcm/book/%e9%9b%86%e9%a9%97%e8%83%8c%e7%96%bd%e6%96%b9/index.html"/>
  </r>
  <r>
    <x v="10"/>
    <x v="3"/>
    <x v="3"/>
    <s v="癘瘍機要"/>
    <s v="癘瘍機要"/>
    <s v="薛己"/>
    <x v="5"/>
    <n v="1554"/>
    <m/>
    <s v="https://jicheng.tw/tcm/book/%e7%99%98%e7%98%8d%e6%a9%9f%e8%a6%81/index.html"/>
  </r>
  <r>
    <x v="10"/>
    <x v="3"/>
    <x v="3"/>
    <s v="立斎外科発揮"/>
    <s v="立齋外科發揮"/>
    <s v="薛己"/>
    <x v="5"/>
    <n v="1528"/>
    <m/>
    <s v="https://jicheng.tw/tcm/book/%e7%ab%8b%e9%bd%8b%e5%a4%96%e7%a7%91%e7%99%bc%e6%8f%ae/index.html"/>
  </r>
  <r>
    <x v="10"/>
    <x v="3"/>
    <x v="3"/>
    <s v="劉涓子鬼遺方"/>
    <s v="劉涓子鬼遺方"/>
    <s v="龔慶宣"/>
    <x v="23"/>
    <s v="495-499"/>
    <m/>
    <s v="https://jicheng.tw/tcm/book/%e5%8a%89%e6%b6%93%e5%ad%90%e9%ac%bc%e9%81%ba%e6%96%b9/index.html"/>
  </r>
  <r>
    <x v="10"/>
    <x v="3"/>
    <x v="3"/>
    <s v="鬼遺方_1"/>
    <s v="鬼遺方_1"/>
    <m/>
    <x v="1"/>
    <m/>
    <m/>
    <s v="https://jicheng.tw/tcm/book/%e9%ac%bc%e9%81%ba%e6%96%b9%5f%31/index.html"/>
  </r>
  <r>
    <x v="10"/>
    <x v="3"/>
    <x v="3"/>
    <s v="瘋門全書"/>
    <s v="瘋門全書"/>
    <s v="肖曉亭"/>
    <x v="3"/>
    <n v="1836"/>
    <m/>
    <s v="https://jicheng.tw/tcm/book/%e7%98%8b%e9%96%80%e5%85%a8%e6%9b%b8/index.html"/>
  </r>
  <r>
    <x v="10"/>
    <x v="3"/>
    <x v="3"/>
    <s v="瘍科心得集"/>
    <s v="瘍科心得集"/>
    <s v="高秉鈞"/>
    <x v="3"/>
    <n v="1805"/>
    <m/>
    <s v="https://jicheng.tw/tcm/book/%e7%98%8d%e7%a7%91%e5%bf%83%e5%be%97%e9%9b%86/index.html"/>
  </r>
  <r>
    <x v="10"/>
    <x v="3"/>
    <x v="3"/>
    <s v="発背対口治訣論"/>
    <s v="發背對口治訣論"/>
    <s v="謝應材"/>
    <x v="3"/>
    <n v="1840"/>
    <m/>
    <s v="https://jicheng.tw/tcm/book/%e7%99%bc%e8%83%8c%e5%b0%8d%e5%8f%a3%e6%b2%bb%e8%a8%a3%e8%ab%96/index.html"/>
  </r>
  <r>
    <x v="10"/>
    <x v="3"/>
    <x v="3"/>
    <s v="癧科全書"/>
    <s v="癧科全書"/>
    <m/>
    <x v="1"/>
    <m/>
    <m/>
    <s v="https://jicheng.tw/tcm/book/%e7%99%a7%e7%a7%91%e5%85%a8%e6%9b%b8/index.html"/>
  </r>
  <r>
    <x v="10"/>
    <x v="3"/>
    <x v="3"/>
    <s v="外科理例"/>
    <s v="外科理例"/>
    <s v="汪機"/>
    <x v="5"/>
    <n v="1531"/>
    <m/>
    <s v="https://jicheng.tw/tcm/book/%e5%a4%96%e7%a7%91%e7%90%86%e4%be%8b/index.html"/>
  </r>
  <r>
    <x v="10"/>
    <x v="3"/>
    <x v="3"/>
    <s v="癰疽神秘験方"/>
    <s v="癰疽神秘驗方"/>
    <s v="陶華"/>
    <x v="5"/>
    <m/>
    <m/>
    <s v="https://jicheng.tw/tcm/book/%e7%99%b0%e7%96%bd%e7%a5%9e%e7%a7%98%e9%a9%97%e6%96%b9/index.html"/>
  </r>
  <r>
    <x v="10"/>
    <x v="3"/>
    <x v="3"/>
    <s v="鄒氏純懿㿖集·瘡瘍"/>
    <s v="鄒氏純懿㿖集·瘡瘍"/>
    <m/>
    <x v="1"/>
    <m/>
    <m/>
    <s v="https://jicheng.tw/tcm/book/%e9%84%92%e6%b0%8f%e7%b4%94%e6%87%bf%e3%bf%96%e9%9b%86/%e7%98%a1%e7%98%8d/index.html"/>
  </r>
  <r>
    <x v="10"/>
    <x v="3"/>
    <x v="3"/>
    <s v="黴癘新書"/>
    <s v="黴癘新書"/>
    <s v="片倉元周"/>
    <x v="3"/>
    <m/>
    <m/>
    <s v="https://jicheng.tw/tcm/book/%e9%bb%b4%e7%99%98%e6%96%b0%e6%9b%b8/index.html"/>
  </r>
  <r>
    <x v="10"/>
    <x v="3"/>
    <x v="3"/>
    <s v="疝気証治論"/>
    <s v="疝氣證治論"/>
    <s v="大橋尚因"/>
    <x v="1"/>
    <m/>
    <m/>
    <s v="https://jicheng.tw/tcm/book/%e7%96%9d%e6%b0%a3%e8%ad%89%e6%b2%bb%e8%ab%96/index.html"/>
  </r>
  <r>
    <x v="10"/>
    <x v="3"/>
    <x v="3"/>
    <s v="疝症積聚"/>
    <s v="疝症積聚"/>
    <m/>
    <x v="1"/>
    <m/>
    <m/>
    <s v="https://jicheng.tw/tcm/book/%e7%96%9d%e7%97%87%e7%a9%8d%e8%81%9a/index.html"/>
  </r>
  <r>
    <x v="11"/>
    <x v="3"/>
    <x v="3"/>
    <s v="秘伝劉伯温家蔵接骨金瘡禁方"/>
    <s v="秘傳劉伯溫家藏接骨金瘡禁方"/>
    <m/>
    <x v="1"/>
    <m/>
    <m/>
    <s v="https://jicheng.tw/tcm/book/%e7%a7%98%e5%82%b3%e5%8a%89%e4%bc%af%e6%ba%ab%e5%ae%b6%e8%97%8f%e6%8e%a5%e9%aa%a8%e9%87%91%e7%98%a1%e7%a6%81%e6%96%b9/index.html"/>
  </r>
  <r>
    <x v="11"/>
    <x v="3"/>
    <x v="3"/>
    <s v="接骨手法"/>
    <s v="接骨手法"/>
    <m/>
    <x v="1"/>
    <n v="1643"/>
    <m/>
    <s v="https://jicheng.tw/tcm/book/%e6%8e%a5%e9%aa%a8%e6%89%8b%e6%b3%95/index.html"/>
  </r>
  <r>
    <x v="11"/>
    <x v="3"/>
    <x v="3"/>
    <s v="金瘡秘伝禁方"/>
    <s v="金瘡秘傳禁方"/>
    <m/>
    <x v="1"/>
    <m/>
    <m/>
    <s v="https://jicheng.tw/tcm/book/%e9%87%91%e7%98%a1%e7%a7%98%e5%82%b3%e7%a6%81%e6%96%b9/index.html"/>
  </r>
  <r>
    <x v="11"/>
    <x v="3"/>
    <x v="3"/>
    <s v="跌打秘方"/>
    <s v="跌打秘方"/>
    <m/>
    <x v="1"/>
    <m/>
    <m/>
    <s v="https://jicheng.tw/tcm/book/%e8%b7%8c%e6%89%93%e7%a7%98%e6%96%b9/index.html"/>
  </r>
  <r>
    <x v="11"/>
    <x v="3"/>
    <x v="3"/>
    <s v="傷科大成"/>
    <s v="傷科大成"/>
    <s v="趙濂"/>
    <x v="3"/>
    <n v="1891"/>
    <m/>
    <s v="https://jicheng.tw/tcm/book/%e5%82%b7%e7%a7%91%e5%a4%a7%e6%88%90/index.html"/>
  </r>
  <r>
    <x v="11"/>
    <x v="3"/>
    <x v="3"/>
    <s v="傷科大成_条列版"/>
    <s v="傷科大成_條列版"/>
    <m/>
    <x v="1"/>
    <m/>
    <m/>
    <s v="https://jicheng.tw/tcm/book/%e5%82%b7%e7%a7%91%e5%a4%a7%e6%88%90%5f%e6%a2%9d%e5%88%97%e7%89%88/index.html"/>
  </r>
  <r>
    <x v="11"/>
    <x v="3"/>
    <x v="3"/>
    <s v="江氏傷科学"/>
    <s v="江氏傷科學"/>
    <m/>
    <x v="1"/>
    <m/>
    <m/>
    <s v="https://jicheng.tw/tcm/book/%e6%b1%9f%e6%b0%8f%e5%82%b7%e7%a7%91%e5%ad%b8/index.html"/>
  </r>
  <r>
    <x v="11"/>
    <x v="3"/>
    <x v="3"/>
    <s v="少林真伝傷科秘方"/>
    <s v="少林真傳傷科秘方"/>
    <m/>
    <x v="3"/>
    <n v="1900"/>
    <m/>
    <s v="https://jicheng.tw/tcm/book/%e5%b0%91%e6%9e%97%e7%9c%9f%e5%82%b3%e5%82%b7%e7%a7%91%e7%a7%98%e6%96%b9/index.html"/>
  </r>
  <r>
    <x v="11"/>
    <x v="3"/>
    <x v="3"/>
    <s v="金瘡跌打接骨薬性秘書"/>
    <s v="金瘡跌打接骨藥性秘書"/>
    <m/>
    <x v="1"/>
    <m/>
    <m/>
    <s v="https://jicheng.tw/tcm/book/%e9%87%91%e7%98%a1%e8%b7%8c%e6%89%93%e6%8e%a5%e9%aa%a8%e8%97%a5%e6%80%a7%e7%a7%98%e6%9b%b8/index.html"/>
  </r>
  <r>
    <x v="11"/>
    <x v="3"/>
    <x v="3"/>
    <s v="跌損妙方"/>
    <s v="跌損妙方"/>
    <s v="異遠真人"/>
    <x v="5"/>
    <n v="1523"/>
    <m/>
    <s v="https://jicheng.tw/tcm/book/%e8%b7%8c%e6%90%8d%e5%a6%99%e6%96%b9/index.html"/>
  </r>
  <r>
    <x v="11"/>
    <x v="3"/>
    <x v="3"/>
    <s v="傷科彙纂"/>
    <s v="傷科彙纂"/>
    <s v="胡廷光"/>
    <x v="3"/>
    <n v="1808"/>
    <m/>
    <s v="https://jicheng.tw/tcm/book/%e5%82%b7%e7%a7%91%e5%bd%99%e7%ba%82/index.html"/>
  </r>
  <r>
    <x v="11"/>
    <x v="3"/>
    <x v="3"/>
    <s v="跌打損傷方"/>
    <s v="跌打損傷方"/>
    <s v="楊成博"/>
    <x v="1"/>
    <m/>
    <m/>
    <s v="https://jicheng.tw/tcm/book/%e8%b7%8c%e6%89%93%e6%90%8d%e5%82%b7%e6%96%b9/index.html"/>
  </r>
  <r>
    <x v="11"/>
    <x v="3"/>
    <x v="3"/>
    <s v="傷科補要"/>
    <s v="傷科補要"/>
    <s v="錢潢"/>
    <x v="3"/>
    <n v="1808"/>
    <m/>
    <s v="https://jicheng.tw/tcm/book/%e5%82%b7%e7%a7%91%e8%a3%9c%e8%a6%81/index.html"/>
  </r>
  <r>
    <x v="11"/>
    <x v="3"/>
    <x v="3"/>
    <s v="救傷秘旨"/>
    <s v="救傷秘旨"/>
    <m/>
    <x v="1"/>
    <n v="1851"/>
    <m/>
    <s v="https://jicheng.tw/tcm/book/%e6%95%91%e5%82%b7%e7%a7%98%e6%97%a8/index.html"/>
  </r>
  <r>
    <x v="11"/>
    <x v="3"/>
    <x v="3"/>
    <s v="医宗金鑑·正骨心法要旨"/>
    <s v="醫宗金鑑·正骨心法要旨"/>
    <s v="吳謙等"/>
    <x v="3"/>
    <n v="1742"/>
    <m/>
    <s v="https://jicheng.tw/tcm/book/%e9%86%ab%e5%ae%97%e9%87%91%e9%91%91/%e6%ad%a3%e9%aa%a8%e5%bf%83%e6%b3%95%e8%a6%81%e6%97%a8/index.html"/>
  </r>
  <r>
    <x v="11"/>
    <x v="3"/>
    <x v="3"/>
    <s v="跌打損傷回生集"/>
    <s v="跌打損傷回生集"/>
    <s v="胡青崑"/>
    <x v="3"/>
    <n v="1859"/>
    <m/>
    <s v="https://jicheng.tw/tcm/book/%e8%b7%8c%e6%89%93%e6%90%8d%e5%82%b7%e5%9b%9e%e7%94%9f%e9%9b%86/index.html"/>
  </r>
  <r>
    <x v="11"/>
    <x v="3"/>
    <x v="3"/>
    <s v="傷科方書"/>
    <s v="傷科方書"/>
    <s v="江考卿"/>
    <x v="3"/>
    <n v="1840"/>
    <m/>
    <s v="https://jicheng.tw/tcm/book/%e5%82%b7%e7%a7%91%e6%96%b9%e6%9b%b8/index.html"/>
  </r>
  <r>
    <x v="11"/>
    <x v="3"/>
    <x v="3"/>
    <s v="正体類要"/>
    <s v="正體類要"/>
    <s v="薛己"/>
    <x v="5"/>
    <n v="1529"/>
    <m/>
    <s v="https://jicheng.tw/tcm/book/%e6%ad%a3%e9%ab%94%e9%a1%9e%e8%a6%81/index.html"/>
  </r>
  <r>
    <x v="11"/>
    <x v="3"/>
    <x v="3"/>
    <s v="中国接骨図説"/>
    <s v="中國接骨圖說"/>
    <s v="二宮獻"/>
    <x v="3"/>
    <n v="1808"/>
    <m/>
    <s v="https://jicheng.tw/tcm/book/%e4%b8%ad%e5%9c%8b%e6%8e%a5%e9%aa%a8%e5%9c%96%e8%aa%aa/index.html"/>
  </r>
  <r>
    <x v="12"/>
    <x v="24"/>
    <x v="3"/>
    <s v="原機啓微"/>
    <s v="原機啟微"/>
    <s v="倪維德"/>
    <x v="4"/>
    <n v="1370"/>
    <m/>
    <s v="https://jicheng.tw/tcm/book/%e5%8e%9f%e6%a9%9f%e5%95%9f%e5%be%ae/index.html"/>
  </r>
  <r>
    <x v="12"/>
    <x v="24"/>
    <x v="3"/>
    <s v="明目至宝"/>
    <s v="明目至寶"/>
    <s v="無名氏撰，楊希洛、夏惟勤整理"/>
    <x v="5"/>
    <n v="1593"/>
    <m/>
    <s v="https://jicheng.tw/tcm/book/%e6%98%8e%e7%9b%ae%e8%87%b3%e5%af%b6/index.html"/>
  </r>
  <r>
    <x v="12"/>
    <x v="24"/>
    <x v="3"/>
    <s v="秘伝眼科龍木論"/>
    <s v="秘傳眼科龍木論"/>
    <s v="葆光道人"/>
    <x v="5"/>
    <m/>
    <m/>
    <s v="https://jicheng.tw/tcm/book/%e7%a7%98%e5%82%b3%e7%9c%bc%e7%a7%91%e9%be%8d%e6%9c%a8%e8%ab%96/index.html"/>
  </r>
  <r>
    <x v="12"/>
    <x v="24"/>
    <x v="3"/>
    <s v="眼科秘訣"/>
    <s v="眼科秘訣"/>
    <m/>
    <x v="1"/>
    <m/>
    <m/>
    <s v="https://jicheng.tw/tcm/book/%e7%9c%bc%e7%a7%91%e7%a7%98%e8%a8%a3/index.html"/>
  </r>
  <r>
    <x v="12"/>
    <x v="24"/>
    <x v="3"/>
    <s v="眼科錦囊"/>
    <s v="眼科錦囊"/>
    <s v="本庄俊篤"/>
    <x v="1"/>
    <m/>
    <m/>
    <s v="https://jicheng.tw/tcm/book/%e7%9c%bc%e7%a7%91%e9%8c%a6%e5%9b%8a/index.html"/>
  </r>
  <r>
    <x v="12"/>
    <x v="24"/>
    <x v="3"/>
    <s v="目経大成"/>
    <s v="目經大成"/>
    <s v="黃庭鏡草成此書，此後四易其稿，但未付梓。弟子鄧學禮得悉此書後於嘉慶十年刊行"/>
    <x v="3"/>
    <n v="1741"/>
    <m/>
    <s v="https://jicheng.tw/tcm/book/%e7%9b%ae%e7%b6%93%e5%a4%a7%e6%88%90/index.html"/>
  </r>
  <r>
    <x v="12"/>
    <x v="24"/>
    <x v="3"/>
    <s v="医宗金鑑·眼科心法要訣"/>
    <s v="醫宗金鑑·眼科心法要訣"/>
    <s v="吳謙等"/>
    <x v="3"/>
    <n v="1742"/>
    <m/>
    <s v="https://jicheng.tw/tcm/book/%e9%86%ab%e5%ae%97%e9%87%91%e9%91%91/%e7%9c%bc%e7%a7%91%e5%bf%83%e6%b3%95%e8%a6%81%e8%a8%a3/index.html"/>
  </r>
  <r>
    <x v="12"/>
    <x v="24"/>
    <x v="3"/>
    <s v="眼科闡微"/>
    <s v="眼科闡微"/>
    <m/>
    <x v="1"/>
    <n v="1700"/>
    <m/>
    <s v="https://jicheng.tw/tcm/book/%e7%9c%bc%e7%a7%91%e9%97%a1%e5%be%ae/index.html"/>
  </r>
  <r>
    <x v="12"/>
    <x v="24"/>
    <x v="3"/>
    <s v="一草亭目科全書"/>
    <s v="一草亭目科全書"/>
    <s v="鄧苑"/>
    <x v="5"/>
    <n v="1643"/>
    <m/>
    <s v="https://jicheng.tw/tcm/book/%e4%b8%80%e8%8d%89%e4%ba%ad%e7%9b%ae%e7%a7%91%e5%85%a8%e6%9b%b8/index.html"/>
  </r>
  <r>
    <x v="12"/>
    <x v="24"/>
    <x v="3"/>
    <s v="審視瑤函"/>
    <s v="審視瑤函"/>
    <s v="傅仁宇"/>
    <x v="5"/>
    <n v="1644"/>
    <m/>
    <s v="https://jicheng.tw/tcm/book/%e5%af%a9%e8%a6%96%e7%91%a4%e5%87%bd/index.html"/>
  </r>
  <r>
    <x v="12"/>
    <x v="24"/>
    <x v="3"/>
    <s v="審視瑤函_1"/>
    <s v="審視瑤函_1"/>
    <s v="傅仁宇"/>
    <x v="5"/>
    <m/>
    <m/>
    <s v="https://jicheng.tw/tcm/book/%e5%af%a9%e8%a6%96%e7%91%a4%e5%87%bd%5f%31/index.html"/>
  </r>
  <r>
    <x v="12"/>
    <x v="24"/>
    <x v="3"/>
    <s v="銀海精微"/>
    <s v="銀海精微"/>
    <s v="孫思邈"/>
    <x v="7"/>
    <n v="682"/>
    <m/>
    <s v="https://jicheng.tw/tcm/book/%e9%8a%80%e6%b5%b7%e7%b2%be%e5%be%ae/index.html"/>
  </r>
  <r>
    <x v="12"/>
    <x v="24"/>
    <x v="3"/>
    <s v="銀海指南"/>
    <s v="銀海指南"/>
    <s v="顧錫"/>
    <x v="3"/>
    <n v="1809"/>
    <m/>
    <s v="https://jicheng.tw/tcm/book/%e9%8a%80%e6%b5%b7%e6%8c%87%e5%8d%97/index.html"/>
  </r>
  <r>
    <x v="12"/>
    <x v="24"/>
    <x v="3"/>
    <s v="異授眼科"/>
    <s v="異授眼科"/>
    <m/>
    <x v="1"/>
    <n v="1643"/>
    <m/>
    <s v="https://jicheng.tw/tcm/book/%e7%95%b0%e6%8e%88%e7%9c%bc%e7%a7%91/index.html"/>
  </r>
  <r>
    <x v="12"/>
    <x v="24"/>
    <x v="3"/>
    <s v="金匱啓鑰·眼科"/>
    <s v="金匱啟鑰·眼科"/>
    <s v="黃朝坊"/>
    <x v="3"/>
    <n v="1804"/>
    <m/>
    <s v="https://jicheng.tw/tcm/book/%e9%87%91%e5%8c%b1%e5%95%9f%e9%91%b0/%e7%9c%bc%e7%a7%91/index.html"/>
  </r>
  <r>
    <x v="12"/>
    <x v="24"/>
    <x v="3"/>
    <s v="明目良方"/>
    <s v="明目良方"/>
    <m/>
    <x v="5"/>
    <n v="1600"/>
    <m/>
    <s v="https://jicheng.tw/tcm/book/%e6%98%8e%e7%9b%ae%e8%89%af%e6%96%b9/index.html"/>
  </r>
  <r>
    <x v="12"/>
    <x v="24"/>
    <x v="3"/>
    <s v="新刊明目良方"/>
    <s v="新刊明目良方"/>
    <m/>
    <x v="5"/>
    <n v="1600"/>
    <m/>
    <s v="https://jicheng.tw/tcm/book/%e6%96%b0%e5%88%8a%e6%98%8e%e7%9b%ae%e8%89%af%e6%96%b9/index.html"/>
  </r>
  <r>
    <x v="12"/>
    <x v="25"/>
    <x v="3"/>
    <s v="重楼玉鑰"/>
    <s v="重樓玉鑰"/>
    <s v="鄭梅澗"/>
    <x v="3"/>
    <n v="1838"/>
    <m/>
    <s v="https://jicheng.tw/tcm/book/%e9%87%8d%e6%a8%93%e7%8e%89%e9%91%b0/index.html"/>
  </r>
  <r>
    <x v="12"/>
    <x v="25"/>
    <x v="3"/>
    <s v="重楼玉鑰続編"/>
    <s v="重樓玉鑰續編"/>
    <s v="方成培"/>
    <x v="3"/>
    <n v="1838"/>
    <m/>
    <s v="https://jicheng.tw/tcm/book/%e9%87%8d%e6%a8%93%e7%8e%89%e9%91%b0%e7%ba%8c%e7%b7%a8/index.html"/>
  </r>
  <r>
    <x v="12"/>
    <x v="25"/>
    <x v="3"/>
    <s v="喉科秘訣"/>
    <s v="喉科秘訣"/>
    <s v="黃真人"/>
    <x v="3"/>
    <n v="1870"/>
    <m/>
    <s v="https://jicheng.tw/tcm/book/%e5%96%89%e7%a7%91%e7%a7%98%e8%a8%a3/index.html"/>
  </r>
  <r>
    <x v="12"/>
    <x v="25"/>
    <x v="3"/>
    <s v="白喉条弁"/>
    <s v="白喉條辨"/>
    <s v="陳葆善"/>
    <x v="3"/>
    <n v="1897"/>
    <m/>
    <s v="https://jicheng.tw/tcm/book/%e7%99%bd%e5%96%89%e6%a2%9d%e8%be%a8/index.html"/>
  </r>
  <r>
    <x v="12"/>
    <x v="25"/>
    <x v="3"/>
    <s v="尤氏喉症指南"/>
    <s v="尤氏喉症指南"/>
    <s v="尤仲仁"/>
    <x v="5"/>
    <n v="1667"/>
    <m/>
    <s v="https://jicheng.tw/tcm/book/%e5%b0%a4%e6%b0%8f%e5%96%89%e7%97%87%e6%8c%87%e5%8d%97/index.html"/>
  </r>
  <r>
    <x v="12"/>
    <x v="25"/>
    <x v="3"/>
    <s v="尤氏喉科秘書"/>
    <s v="尤氏喉科秘書"/>
    <s v="尤乘"/>
    <x v="3"/>
    <n v="1667"/>
    <m/>
    <s v="https://jicheng.tw/tcm/book/%e5%b0%a4%e6%b0%8f%e5%96%89%e7%a7%91%e7%a7%98%e6%9b%b8/index.html"/>
  </r>
  <r>
    <x v="12"/>
    <x v="25"/>
    <x v="3"/>
    <s v="焦氏喉科枕秘"/>
    <s v="焦氏喉科枕秘"/>
    <m/>
    <x v="1"/>
    <m/>
    <m/>
    <s v="https://jicheng.tw/tcm/book/%e7%84%a6%e6%b0%8f%e5%96%89%e7%a7%91%e6%9e%95%e7%a7%98/index.html"/>
  </r>
  <r>
    <x v="12"/>
    <x v="25"/>
    <x v="3"/>
    <s v="喉科指掌"/>
    <s v="喉科指掌"/>
    <s v="張宗良"/>
    <x v="3"/>
    <n v="1757"/>
    <m/>
    <s v="https://jicheng.tw/tcm/book/%e5%96%89%e7%a7%91%e6%8c%87%e6%8e%8c/index.html"/>
  </r>
  <r>
    <x v="12"/>
    <x v="25"/>
    <x v="3"/>
    <s v="包氏喉証家宝"/>
    <s v="包氏喉證家寶"/>
    <s v="包三述"/>
    <x v="3"/>
    <n v="1910"/>
    <m/>
    <s v="https://jicheng.tw/tcm/book/%e5%8c%85%e6%b0%8f%e5%96%89%e8%ad%89%e5%ae%b6%e5%af%b6/index.html"/>
  </r>
  <r>
    <x v="12"/>
    <x v="25"/>
    <x v="3"/>
    <s v="咽喉秘集"/>
    <s v="咽喉秘集"/>
    <s v="張宋良、吳氏"/>
    <x v="3"/>
    <n v="1850"/>
    <m/>
    <s v="https://jicheng.tw/tcm/book/%e5%92%bd%e5%96%89%e7%a7%98%e9%9b%86/index.html"/>
  </r>
  <r>
    <x v="12"/>
    <x v="25"/>
    <x v="3"/>
    <s v="白喉全生集"/>
    <s v="白喉全生集"/>
    <s v="李紀方"/>
    <x v="3"/>
    <n v="1882"/>
    <m/>
    <s v="https://jicheng.tw/tcm/book/%e7%99%bd%e5%96%89%e5%85%a8%e7%94%9f%e9%9b%86/index.html"/>
  </r>
  <r>
    <x v="12"/>
    <x v="25"/>
    <x v="3"/>
    <s v="喉科集腋"/>
    <s v="喉科集腋"/>
    <s v="沈青芝"/>
    <x v="3"/>
    <n v="1890"/>
    <m/>
    <s v="https://jicheng.tw/tcm/book/%e5%96%89%e7%a7%91%e9%9b%86%e8%85%8b/index.html"/>
  </r>
  <r>
    <x v="12"/>
    <x v="25"/>
    <x v="3"/>
    <s v="咽喉脈証通論"/>
    <s v="咽喉脈證通論"/>
    <s v="許槤"/>
    <x v="3"/>
    <n v="1825"/>
    <m/>
    <s v="https://jicheng.tw/tcm/book/%e5%92%bd%e5%96%89%e8%84%88%e8%ad%89%e9%80%9a%e8%ab%96/index.html"/>
  </r>
  <r>
    <x v="12"/>
    <x v="25"/>
    <x v="3"/>
    <s v="重訂囊秘喉書"/>
    <s v="重訂囊秘喉書"/>
    <s v="楊龍九"/>
    <x v="3"/>
    <n v="1902"/>
    <m/>
    <s v="https://jicheng.tw/tcm/book/%e9%87%8d%e8%a8%82%e5%9b%8a%e7%a7%98%e5%96%89%e6%9b%b8/index.html"/>
  </r>
  <r>
    <x v="12"/>
    <x v="25"/>
    <x v="3"/>
    <s v="白喉捷要合編"/>
    <s v="白喉捷要合編"/>
    <m/>
    <x v="1"/>
    <m/>
    <m/>
    <s v="https://jicheng.tw/tcm/book/%e7%99%bd%e5%96%89%e6%8d%b7%e8%a6%81%e5%90%88%e7%b7%a8/index.html"/>
  </r>
  <r>
    <x v="12"/>
    <x v="25"/>
    <x v="3"/>
    <s v="白喉弁証"/>
    <s v="白喉辨證"/>
    <s v="王裕慶"/>
    <x v="3"/>
    <n v="1887"/>
    <m/>
    <s v="https://jicheng.tw/tcm/book/%e7%99%bd%e5%96%89%e8%be%a8%e8%ad%89/index.html"/>
  </r>
  <r>
    <x v="12"/>
    <x v="25"/>
    <x v="3"/>
    <s v="喉科大成"/>
    <s v="喉科大成"/>
    <s v="馬渭齡"/>
    <x v="3"/>
    <n v="1881"/>
    <m/>
    <s v="https://jicheng.tw/tcm/book/%e5%96%89%e7%a7%91%e5%a4%a7%e6%88%90/index.html"/>
  </r>
  <r>
    <x v="12"/>
    <x v="25"/>
    <x v="3"/>
    <s v="喉科金鑰全書"/>
    <s v="喉科金鑰全書"/>
    <s v="袁仁賢"/>
    <x v="3"/>
    <n v="1911"/>
    <m/>
    <s v="https://jicheng.tw/tcm/book/%e5%96%89%e7%a7%91%e9%87%91%e9%91%b0%e5%85%a8%e6%9b%b8/index.html"/>
  </r>
  <r>
    <x v="12"/>
    <x v="25"/>
    <x v="3"/>
    <s v="集喉症諸方"/>
    <s v="集喉症諸方"/>
    <m/>
    <x v="1"/>
    <m/>
    <m/>
    <s v="https://jicheng.tw/tcm/book/%e9%9b%86%e5%96%89%e7%97%87%e8%ab%b8%e6%96%b9/index.html"/>
  </r>
  <r>
    <x v="12"/>
    <x v="25"/>
    <x v="3"/>
    <s v="喉科心法"/>
    <s v="喉科心法"/>
    <s v="沈善兼"/>
    <x v="3"/>
    <n v="1847"/>
    <m/>
    <s v="https://jicheng.tw/tcm/book/%e5%96%89%e7%a7%91%e5%bf%83%e6%b3%95/index.html"/>
  </r>
  <r>
    <x v="12"/>
    <x v="25"/>
    <x v="3"/>
    <s v="咳論経旨"/>
    <s v="咳論經旨"/>
    <s v="凌德"/>
    <x v="3"/>
    <n v="1911"/>
    <m/>
    <s v="https://jicheng.tw/tcm/book/%e5%92%b3%e8%ab%96%e7%b6%93%e6%97%a8/index.html"/>
  </r>
  <r>
    <x v="12"/>
    <x v="25"/>
    <x v="3"/>
    <s v="喉科家訓"/>
    <s v="喉科家訓"/>
    <s v="刁步忠"/>
    <x v="3"/>
    <m/>
    <m/>
    <s v="https://jicheng.tw/tcm/book/%e5%96%89%e7%a7%91%e5%ae%b6%e8%a8%93/index.html"/>
  </r>
  <r>
    <x v="12"/>
    <x v="26"/>
    <x v="3"/>
    <s v="口歯類要"/>
    <s v="口齒類要"/>
    <s v="薛己"/>
    <x v="5"/>
    <n v="1528"/>
    <m/>
    <s v="https://jicheng.tw/tcm/book/%e5%8f%a3%e9%bd%92%e9%a1%9e%e8%a6%81/index.html"/>
  </r>
  <r>
    <x v="12"/>
    <x v="26"/>
    <x v="3"/>
    <s v="走馬急疳真方"/>
    <s v="走馬急疳真方"/>
    <m/>
    <x v="1"/>
    <m/>
    <m/>
    <s v="https://jicheng.tw/tcm/book/%e8%b5%b0%e9%a6%ac%e6%80%a5%e7%96%b3%e7%9c%9f%e6%96%b9/index.html"/>
  </r>
  <r>
    <x v="12"/>
    <x v="26"/>
    <x v="3"/>
    <s v="喉舌備要秘旨"/>
    <s v="喉舌備要秘旨"/>
    <m/>
    <x v="3"/>
    <n v="1863"/>
    <m/>
    <s v="https://jicheng.tw/tcm/book/%e5%96%89%e8%88%8c%e5%82%99%e8%a6%81%e7%a7%98%e6%97%a8/index.html"/>
  </r>
  <r>
    <x v="12"/>
    <x v="27"/>
    <x v="3"/>
    <s v="祝由科諸符秘"/>
    <s v="祝由科諸符祕"/>
    <s v="張虛靖"/>
    <x v="1"/>
    <m/>
    <m/>
    <s v="https://jicheng.tw/tcm/book/%e7%a5%9d%e7%94%b1%e7%a7%91%e8%ab%b8%e7%ac%a6%e7%a5%95/index.html"/>
  </r>
  <r>
    <x v="12"/>
    <x v="27"/>
    <x v="3"/>
    <s v="祝由科"/>
    <s v="祝由科"/>
    <m/>
    <x v="1"/>
    <m/>
    <m/>
    <s v="https://jicheng.tw/tcm/book/%e7%a5%9d%e7%94%b1%e7%a7%91/index.html"/>
  </r>
  <r>
    <x v="12"/>
    <x v="27"/>
    <x v="3"/>
    <s v="資福等斉天医十三科治病一宗"/>
    <s v="資福等齊天醫十三科治病一宗"/>
    <m/>
    <x v="1"/>
    <m/>
    <m/>
    <s v="https://jicheng.tw/tcm/book/%e8%b3%87%e7%a6%8f%e7%ad%89%e9%bd%8a%e5%a4%a9%e9%86%ab%e5%8d%81%e4%b8%89%e7%a7%91%e6%b2%bb%e7%97%85%e4%b8%80%e5%ae%97/index.html"/>
  </r>
  <r>
    <x v="13"/>
    <x v="3"/>
    <x v="3"/>
    <s v="養老奉親書"/>
    <s v="養老奉親書"/>
    <s v="陳直"/>
    <x v="2"/>
    <n v="1085"/>
    <m/>
    <s v="https://jicheng.tw/tcm/book/%e9%a4%8a%e8%80%81%e5%a5%89%e8%a6%aa%e6%9b%b8/index.html"/>
  </r>
  <r>
    <x v="13"/>
    <x v="3"/>
    <x v="3"/>
    <s v="寿世伝真"/>
    <s v="壽世傳真"/>
    <s v="徐文弼"/>
    <x v="3"/>
    <n v="1771"/>
    <m/>
    <s v="https://jicheng.tw/tcm/book/%e5%a3%bd%e4%b8%96%e5%82%b3%e7%9c%9f/index.html"/>
  </r>
  <r>
    <x v="13"/>
    <x v="3"/>
    <x v="3"/>
    <s v="修崑崙証験"/>
    <s v="修崑崙證驗"/>
    <s v="天休子"/>
    <x v="3"/>
    <n v="1847"/>
    <m/>
    <s v="https://jicheng.tw/tcm/book/%e4%bf%ae%e5%b4%91%e5%b4%99%e8%ad%89%e9%a9%97/index.html"/>
  </r>
  <r>
    <x v="13"/>
    <x v="3"/>
    <x v="3"/>
    <s v="養生類要"/>
    <s v="養生類要"/>
    <s v="吳正倫"/>
    <x v="5"/>
    <n v="1564"/>
    <m/>
    <s v="https://jicheng.tw/tcm/book/%e9%a4%8a%e7%94%9f%e9%a1%9e%e8%a6%81/index.html"/>
  </r>
  <r>
    <x v="13"/>
    <x v="3"/>
    <x v="3"/>
    <s v="養生秘旨"/>
    <s v="養生秘旨"/>
    <s v="馬齊"/>
    <x v="3"/>
    <n v="1893"/>
    <m/>
    <s v="https://jicheng.tw/tcm/book/%e9%a4%8a%e7%94%9f%e7%a7%98%e6%97%a8/index.html"/>
  </r>
  <r>
    <x v="13"/>
    <x v="3"/>
    <x v="3"/>
    <s v="寿世青編"/>
    <s v="壽世青編"/>
    <s v="尤乘"/>
    <x v="3"/>
    <n v="1667"/>
    <m/>
    <s v="https://jicheng.tw/tcm/book/%e5%a3%bd%e4%b8%96%e9%9d%92%e7%b7%a8/index.html"/>
  </r>
  <r>
    <x v="13"/>
    <x v="3"/>
    <x v="3"/>
    <s v="性命要旨"/>
    <s v="性命要旨"/>
    <s v="汪東亭"/>
    <x v="3"/>
    <n v="1889"/>
    <m/>
    <s v="https://jicheng.tw/tcm/book/%e6%80%a7%e5%91%bd%e8%a6%81%e6%97%a8/index.html"/>
  </r>
  <r>
    <x v="13"/>
    <x v="3"/>
    <x v="3"/>
    <s v="奉時旨要"/>
    <s v="奉時旨要"/>
    <s v="江涵（日敦）"/>
    <x v="3"/>
    <m/>
    <m/>
    <s v="https://jicheng.tw/tcm/book/%e5%a5%89%e6%99%82%e6%97%a8%e8%a6%81/index.html"/>
  </r>
  <r>
    <x v="13"/>
    <x v="3"/>
    <x v="3"/>
    <s v="厚生訓纂"/>
    <s v="厚生訓纂"/>
    <s v="周涇"/>
    <x v="5"/>
    <n v="1549"/>
    <m/>
    <s v="https://jicheng.tw/tcm/book/%e5%8e%9a%e7%94%9f%e8%a8%93%e7%ba%82/index.html"/>
  </r>
  <r>
    <x v="13"/>
    <x v="3"/>
    <x v="3"/>
    <s v="錦身機要"/>
    <s v="錦身機要"/>
    <s v="混沌子"/>
    <x v="5"/>
    <n v="1515"/>
    <m/>
    <s v="https://jicheng.tw/tcm/book/%e9%8c%a6%e8%ba%ab%e6%a9%9f%e8%a6%81/index.html"/>
  </r>
  <r>
    <x v="13"/>
    <x v="3"/>
    <x v="3"/>
    <s v="類修要訣"/>
    <s v="類修要訣"/>
    <s v="胡文煥"/>
    <x v="5"/>
    <n v="1592"/>
    <m/>
    <s v="https://jicheng.tw/tcm/book/%e9%a1%9e%e4%bf%ae%e8%a6%81%e8%a8%a3/index.html"/>
  </r>
  <r>
    <x v="13"/>
    <x v="3"/>
    <x v="3"/>
    <s v="三元参賛延寿書"/>
    <s v="三元參贊延壽書"/>
    <s v="李鵬飛"/>
    <x v="4"/>
    <n v="1294"/>
    <m/>
    <s v="https://jicheng.tw/tcm/book/%e4%b8%89%e5%85%83%e5%8f%83%e8%b4%8a%e5%bb%b6%e5%a3%bd%e6%9b%b8/index.html"/>
  </r>
  <r>
    <x v="13"/>
    <x v="3"/>
    <x v="3"/>
    <s v="山居四要"/>
    <s v="山居四要"/>
    <s v="汪汝懋"/>
    <x v="4"/>
    <n v="1360"/>
    <m/>
    <s v="https://jicheng.tw/tcm/book/%e5%b1%b1%e5%b1%85%e5%9b%9b%e8%a6%81/index.html"/>
  </r>
  <r>
    <x v="13"/>
    <x v="3"/>
    <x v="3"/>
    <s v="摂生集覧"/>
    <s v="攝生集覽"/>
    <s v="胡文煥"/>
    <x v="5"/>
    <n v="1595"/>
    <m/>
    <s v="https://jicheng.tw/tcm/book/%e6%94%9d%e7%94%9f%e9%9b%86%e8%a6%bd/index.html"/>
  </r>
  <r>
    <x v="13"/>
    <x v="3"/>
    <x v="3"/>
    <s v="摂生要義"/>
    <s v="攝生要義"/>
    <s v="河濱丈人"/>
    <x v="9"/>
    <n v="1592"/>
    <m/>
    <s v="https://jicheng.tw/tcm/book/%e6%94%9d%e7%94%9f%e8%a6%81%e7%be%a9/index.html"/>
  </r>
  <r>
    <x v="13"/>
    <x v="3"/>
    <x v="3"/>
    <s v="寿親養老書"/>
    <s v="壽親養老書"/>
    <s v="陳直"/>
    <x v="2"/>
    <m/>
    <m/>
    <s v="https://jicheng.tw/tcm/book/%e5%a3%bd%e8%a6%aa%e9%a4%8a%e8%80%81%e6%9b%b8/index.html"/>
  </r>
  <r>
    <x v="13"/>
    <x v="3"/>
    <x v="3"/>
    <s v="寿世編"/>
    <s v="壽世編"/>
    <s v="青浦諸君子"/>
    <x v="3"/>
    <m/>
    <m/>
    <s v="https://jicheng.tw/tcm/book/%e5%a3%bd%e4%b8%96%e7%b7%a8/index.html"/>
  </r>
  <r>
    <x v="13"/>
    <x v="3"/>
    <x v="3"/>
    <s v="太素脈訣秘書"/>
    <s v="太素脈訣秘書"/>
    <s v="胡文煥"/>
    <x v="5"/>
    <n v="1592"/>
    <m/>
    <s v="https://jicheng.tw/tcm/book/%e5%a4%aa%e7%b4%a0%e8%84%88%e8%a8%a3%e7%a7%98%e6%9b%b8/index.html"/>
  </r>
  <r>
    <x v="13"/>
    <x v="3"/>
    <x v="3"/>
    <s v="太素心要"/>
    <s v="太素心要"/>
    <s v="胡文煥"/>
    <x v="5"/>
    <n v="1592"/>
    <m/>
    <s v="https://jicheng.tw/tcm/book/%e5%a4%aa%e7%b4%a0%e5%bf%83%e8%a6%81/index.html"/>
  </r>
  <r>
    <x v="13"/>
    <x v="3"/>
    <x v="3"/>
    <s v="香匳潤色"/>
    <s v="香奩潤色"/>
    <s v="胡文煥"/>
    <x v="5"/>
    <m/>
    <m/>
    <s v="https://jicheng.tw/tcm/book/%e9%a6%99%e5%a5%a9%e6%bd%a4%e8%89%b2/index.html"/>
  </r>
  <r>
    <x v="13"/>
    <x v="3"/>
    <x v="3"/>
    <s v="心印紺珠経"/>
    <s v="心印紺珠經"/>
    <s v="李湯卿"/>
    <x v="4"/>
    <n v="1368"/>
    <m/>
    <s v="https://jicheng.tw/tcm/book/%e5%bf%83%e5%8d%b0%e7%b4%ba%e7%8f%a0%e7%b6%93/index.html"/>
  </r>
  <r>
    <x v="13"/>
    <x v="3"/>
    <x v="3"/>
    <s v="養生類纂"/>
    <s v="養生類纂"/>
    <s v="周守忠"/>
    <x v="2"/>
    <n v="1220"/>
    <m/>
    <s v="https://jicheng.tw/tcm/book/%e9%a4%8a%e7%94%9f%e9%a1%9e%e7%ba%82/index.html"/>
  </r>
  <r>
    <x v="13"/>
    <x v="3"/>
    <x v="3"/>
    <s v="修真秘要"/>
    <s v="修真秘要"/>
    <s v="王蔡"/>
    <x v="5"/>
    <m/>
    <m/>
    <s v="https://jicheng.tw/tcm/book/%e4%bf%ae%e7%9c%9f%e7%a7%98%e8%a6%81/index.html"/>
  </r>
  <r>
    <x v="13"/>
    <x v="3"/>
    <x v="3"/>
    <s v="養生月覧"/>
    <s v="養生月覽"/>
    <s v="周守忠"/>
    <x v="2"/>
    <n v="1200"/>
    <m/>
    <s v="https://jicheng.tw/tcm/book/%e9%a4%8a%e7%94%9f%e6%9c%88%e8%a6%bd/index.html"/>
  </r>
  <r>
    <x v="13"/>
    <x v="3"/>
    <x v="3"/>
    <s v="養生四要"/>
    <s v="養生四要"/>
    <s v="萬全"/>
    <x v="5"/>
    <n v="1576"/>
    <m/>
    <s v="https://jicheng.tw/tcm/book/%e9%a4%8a%e7%94%9f%e5%9b%9b%e8%a6%81/index.html"/>
  </r>
  <r>
    <x v="13"/>
    <x v="3"/>
    <x v="3"/>
    <s v="保命歌括"/>
    <s v="保命歌括"/>
    <s v="萬全"/>
    <x v="5"/>
    <n v="1570"/>
    <m/>
    <s v="https://jicheng.tw/tcm/book/%e4%bf%9d%e5%91%bd%e6%ad%8c%e6%8b%ac/index.html"/>
  </r>
  <r>
    <x v="13"/>
    <x v="3"/>
    <x v="3"/>
    <s v="医学権輿"/>
    <s v="醫學權輿"/>
    <s v="胡文煥"/>
    <x v="5"/>
    <n v="1563"/>
    <m/>
    <s v="https://jicheng.tw/tcm/book/%e9%86%ab%e5%ad%b8%e6%ac%8a%e8%bc%bf/index.html"/>
  </r>
  <r>
    <x v="13"/>
    <x v="3"/>
    <x v="3"/>
    <s v="軒轅黄帝治病秘法"/>
    <s v="軒轅黃帝治病秘法"/>
    <s v="陳直"/>
    <x v="2"/>
    <m/>
    <m/>
    <s v="https://jicheng.tw/tcm/book/%e8%bb%92%e8%bd%85%e9%bb%83%e5%b8%9d%e6%b2%bb%e7%97%85%e7%a7%98%e6%b3%95/index.html"/>
  </r>
  <r>
    <x v="13"/>
    <x v="3"/>
    <x v="3"/>
    <s v="摂養枕中方"/>
    <s v="攝養枕中方"/>
    <s v="孫思邈"/>
    <x v="7"/>
    <m/>
    <m/>
    <s v="https://jicheng.tw/tcm/book/%e6%94%9d%e9%a4%8a%e6%9e%95%e4%b8%ad%e6%96%b9/index.html"/>
  </r>
  <r>
    <x v="13"/>
    <x v="3"/>
    <x v="3"/>
    <s v="福寿丹書"/>
    <s v="福壽丹書"/>
    <m/>
    <x v="1"/>
    <m/>
    <m/>
    <s v="https://jicheng.tw/tcm/book/%e7%a6%8f%e5%a3%bd%e4%b8%b9%e6%9b%b8/index.html"/>
  </r>
  <r>
    <x v="13"/>
    <x v="3"/>
    <x v="3"/>
    <s v="寿親養老新書"/>
    <s v="壽親養老新書"/>
    <s v="宋·陳直著，元·鄒鉉續增"/>
    <x v="4"/>
    <n v="1307"/>
    <m/>
    <s v="https://jicheng.tw/tcm/book/%e5%a3%bd%e8%a6%aa%e9%a4%8a%e8%80%81%e6%96%b0%e6%9b%b8/index.html"/>
  </r>
  <r>
    <x v="13"/>
    <x v="3"/>
    <x v="3"/>
    <s v="安老懐幼書"/>
    <s v="安老懷幼書"/>
    <s v="陳直、鄒鉉、黃應紫"/>
    <x v="2"/>
    <m/>
    <m/>
    <s v="https://jicheng.tw/tcm/book/%e5%ae%89%e8%80%81%e6%87%b7%e5%b9%bc%e6%9b%b8/index.html"/>
  </r>
  <r>
    <x v="13"/>
    <x v="28"/>
    <x v="3"/>
    <s v="巣氏病源補養宣導法"/>
    <s v="巢氏病源補養宣導法"/>
    <s v="巢元方"/>
    <x v="24"/>
    <m/>
    <m/>
    <s v="https://jicheng.tw/tcm/book/%e5%b7%a2%e6%b0%8f%e7%97%85%e6%ba%90%e8%a3%9c%e9%a4%8a%e5%ae%a3%e5%b0%8e%e6%b3%95/index.html"/>
  </r>
  <r>
    <x v="13"/>
    <x v="28"/>
    <x v="3"/>
    <s v="養生導引秘籍"/>
    <s v="養生導引秘籍"/>
    <s v="胡文煥"/>
    <x v="5"/>
    <s v="1368-1644"/>
    <m/>
    <s v="https://jicheng.tw/tcm/book/%e9%a4%8a%e7%94%9f%e5%b0%8e%e5%bc%95%e7%a7%98%e7%b1%8d/index.html"/>
  </r>
  <r>
    <x v="13"/>
    <x v="28"/>
    <x v="3"/>
    <s v="動功按摩秘訣"/>
    <s v="動功按摩秘訣"/>
    <s v="汪啟聖，汪啟賢"/>
    <x v="3"/>
    <n v="1696"/>
    <m/>
    <s v="https://jicheng.tw/tcm/book/%e5%8b%95%e5%8a%9f%e6%8c%89%e6%91%a9%e7%a7%98%e8%a8%a3/index.html"/>
  </r>
  <r>
    <x v="13"/>
    <x v="28"/>
    <x v="3"/>
    <s v="養生導引法"/>
    <s v="養生導引法"/>
    <s v="胡文煥"/>
    <x v="5"/>
    <n v="1592"/>
    <m/>
    <s v="https://jicheng.tw/tcm/book/%e9%a4%8a%e7%94%9f%e5%b0%8e%e5%bc%95%e6%b3%95/index.html"/>
  </r>
  <r>
    <x v="13"/>
    <x v="28"/>
    <x v="3"/>
    <s v="達摩洗髄易筋経"/>
    <s v="達摩洗髓易筋經"/>
    <s v="項揚惠、吳德華、張鑑若、曹江整理"/>
    <x v="1"/>
    <m/>
    <m/>
    <s v="https://jicheng.tw/tcm/book/%e9%81%94%e6%91%a9%e6%b4%97%e9%ab%93%e6%98%93%e7%ad%8b%e7%b6%93/index.html"/>
  </r>
  <r>
    <x v="13"/>
    <x v="29"/>
    <x v="3"/>
    <s v="千金食治"/>
    <s v="千金食治"/>
    <s v="孫思邈"/>
    <x v="7"/>
    <n v="652"/>
    <m/>
    <s v="https://jicheng.tw/tcm/book/%e5%8d%83%e9%87%91%e9%a3%9f%e6%b2%bb/index.html"/>
  </r>
  <r>
    <x v="13"/>
    <x v="29"/>
    <x v="3"/>
    <s v="食療方"/>
    <s v="食療方"/>
    <s v="忽思慧"/>
    <x v="4"/>
    <m/>
    <m/>
    <s v="https://jicheng.tw/tcm/book/%e9%a3%9f%e7%99%82%e6%96%b9/index.html"/>
  </r>
  <r>
    <x v="13"/>
    <x v="29"/>
    <x v="3"/>
    <s v="飲膳正要"/>
    <s v="飲膳正要"/>
    <s v="忽思慧"/>
    <x v="4"/>
    <n v="1330"/>
    <m/>
    <s v="https://jicheng.tw/tcm/book/%e9%a3%b2%e8%86%b3%e6%ad%a3%e8%a6%81/index.html"/>
  </r>
  <r>
    <x v="13"/>
    <x v="29"/>
    <x v="3"/>
    <s v="保生心鑑"/>
    <s v="保生心鑑"/>
    <s v="鐵峰居士"/>
    <x v="5"/>
    <m/>
    <m/>
    <s v="https://jicheng.tw/tcm/book/%e4%bf%9d%e7%94%9f%e5%bf%83%e9%91%91/index.html"/>
  </r>
  <r>
    <x v="13"/>
    <x v="29"/>
    <x v="3"/>
    <s v="養生食忌"/>
    <s v="養生食忌"/>
    <s v="胡文煥編"/>
    <x v="1"/>
    <n v="1592"/>
    <m/>
    <s v="https://jicheng.tw/tcm/book/%e9%a4%8a%e7%94%9f%e9%a3%9f%e5%bf%8c/index.html"/>
  </r>
  <r>
    <x v="13"/>
    <x v="29"/>
    <x v="3"/>
    <s v="随息居飲食譜"/>
    <s v="隨息居飲食譜"/>
    <s v="王士雄"/>
    <x v="3"/>
    <m/>
    <m/>
    <s v="https://jicheng.tw/tcm/book/%e9%9a%a8%e6%81%af%e5%b1%85%e9%a3%b2%e9%a3%9f%e8%ad%9c/index.html"/>
  </r>
  <r>
    <x v="13"/>
    <x v="29"/>
    <x v="3"/>
    <s v="飲食須知"/>
    <s v="飲食須知"/>
    <s v="賈銘"/>
    <x v="4"/>
    <s v="1271-1368"/>
    <m/>
    <s v="https://jicheng.tw/tcm/book/%e9%a3%b2%e9%a3%9f%e9%a0%88%e7%9f%a5/index.html"/>
  </r>
  <r>
    <x v="13"/>
    <x v="29"/>
    <x v="3"/>
    <s v="調疾飲食弁"/>
    <s v="調疾飲食辨"/>
    <s v="章穆"/>
    <x v="3"/>
    <n v="1813"/>
    <m/>
    <s v="https://jicheng.tw/tcm/book/%e8%aa%bf%e7%96%be%e9%a3%b2%e9%a3%9f%e8%be%a8/index.html"/>
  </r>
  <r>
    <x v="13"/>
    <x v="29"/>
    <x v="3"/>
    <s v="食物輯要"/>
    <s v="食物輯要"/>
    <s v="穆世錫"/>
    <x v="5"/>
    <n v="1614"/>
    <m/>
    <s v="https://jicheng.tw/tcm/book/%e9%a3%9f%e7%89%a9%e8%bc%af%e8%a6%81/index.html"/>
  </r>
  <r>
    <x v="13"/>
    <x v="30"/>
    <x v="3"/>
    <s v="急救広生集"/>
    <s v="急救廣生集"/>
    <s v="程鵬程"/>
    <x v="3"/>
    <n v="1805"/>
    <m/>
    <s v="https://jicheng.tw/tcm/book/%e6%80%a5%e6%95%91%e5%bb%a3%e7%94%9f%e9%9b%86/index.html"/>
  </r>
  <r>
    <x v="13"/>
    <x v="30"/>
    <x v="3"/>
    <s v="理瀹駢文"/>
    <s v="理瀹駢文"/>
    <s v="吳師機"/>
    <x v="3"/>
    <n v="1864"/>
    <m/>
    <s v="https://jicheng.tw/tcm/book/%e7%90%86%e7%80%b9%e9%a7%a2%e6%96%87/index.html"/>
  </r>
  <r>
    <x v="13"/>
    <x v="30"/>
    <x v="3"/>
    <s v="理瀹駢文_1"/>
    <s v="理瀹駢文_1"/>
    <s v="吳師機"/>
    <x v="3"/>
    <m/>
    <m/>
    <s v="https://jicheng.tw/tcm/book/%e7%90%86%e7%80%b9%e9%a7%a2%e6%96%87%5f%31/index.html"/>
  </r>
  <r>
    <x v="14"/>
    <x v="3"/>
    <x v="3"/>
    <s v="北山医案"/>
    <s v="北山醫案"/>
    <s v="北山友松子"/>
    <x v="3"/>
    <n v="1745"/>
    <m/>
    <s v="https://jicheng.tw/tcm/book/%e5%8c%97%e5%b1%b1%e9%86%ab%e6%a1%88/index.html"/>
  </r>
  <r>
    <x v="14"/>
    <x v="3"/>
    <x v="3"/>
    <s v="先哲医話"/>
    <s v="先哲醫話"/>
    <s v="淺田宗伯"/>
    <x v="3"/>
    <m/>
    <m/>
    <s v="https://jicheng.tw/tcm/book/%e5%85%88%e5%93%b2%e9%86%ab%e8%a9%b1/index.html"/>
  </r>
  <r>
    <x v="14"/>
    <x v="3"/>
    <x v="3"/>
    <s v="呉鞠通医案"/>
    <s v="吳鞠通醫案"/>
    <s v="吳塘"/>
    <x v="3"/>
    <n v="1798"/>
    <m/>
    <s v="https://jicheng.tw/tcm/book/%e5%90%b3%e9%9e%a0%e9%80%9a%e9%86%ab%e6%a1%88/index.html"/>
  </r>
  <r>
    <x v="14"/>
    <x v="3"/>
    <x v="3"/>
    <s v="呉鞠通医案_1"/>
    <s v="吳鞠通醫案_1"/>
    <s v="吳塘"/>
    <x v="3"/>
    <m/>
    <m/>
    <s v="https://jicheng.tw/tcm/book/%e5%90%b3%e9%9e%a0%e9%80%9a%e9%86%ab%e6%a1%88%5f%31/index.html"/>
  </r>
  <r>
    <x v="14"/>
    <x v="3"/>
    <x v="3"/>
    <s v="邵蘭蓀医案"/>
    <s v="邵蘭蓀醫案"/>
    <s v="邵蘭蓀"/>
    <x v="25"/>
    <n v="1937"/>
    <m/>
    <s v="https://jicheng.tw/tcm/book/%e9%82%b5%e8%98%ad%e8%93%80%e9%86%ab%e6%a1%88/index.html"/>
  </r>
  <r>
    <x v="14"/>
    <x v="3"/>
    <x v="3"/>
    <s v="何澹安医案"/>
    <s v="何澹安醫案"/>
    <s v="何游"/>
    <x v="3"/>
    <n v="1875"/>
    <m/>
    <s v="https://jicheng.tw/tcm/book/%e4%bd%95%e6%be%b9%e5%ae%89%e9%86%ab%e6%a1%88/index.html"/>
  </r>
  <r>
    <x v="14"/>
    <x v="3"/>
    <x v="3"/>
    <s v="張聿青医案"/>
    <s v="張聿青醫案"/>
    <s v="張聿青"/>
    <x v="3"/>
    <n v="1897"/>
    <m/>
    <s v="https://jicheng.tw/tcm/book/%e5%bc%b5%e8%81%bf%e9%9d%92%e9%86%ab%e6%a1%88/index.html"/>
  </r>
  <r>
    <x v="14"/>
    <x v="3"/>
    <x v="3"/>
    <s v="叢桂草堂医案"/>
    <s v="叢桂草堂醫案"/>
    <s v="袁焯"/>
    <x v="3"/>
    <n v="1914"/>
    <m/>
    <s v="https://jicheng.tw/tcm/book/%e5%8f%a2%e6%a1%82%e8%8d%89%e5%a0%82%e9%86%ab%e6%a1%88/index.html"/>
  </r>
  <r>
    <x v="14"/>
    <x v="3"/>
    <x v="3"/>
    <s v="奇症彙"/>
    <s v="奇症彙"/>
    <s v="沈源"/>
    <x v="3"/>
    <n v="1786"/>
    <m/>
    <s v="https://jicheng.tw/tcm/book/%e5%a5%87%e7%97%87%e5%bd%99/index.html"/>
  </r>
  <r>
    <x v="14"/>
    <x v="3"/>
    <x v="3"/>
    <s v="未刻本葉氏医案"/>
    <s v="未刻本葉氏醫案"/>
    <s v="葉桂"/>
    <x v="3"/>
    <n v="1769"/>
    <m/>
    <s v="https://jicheng.tw/tcm/book/%e6%9c%aa%e5%88%bb%e6%9c%ac%e8%91%89%e6%b0%8f%e9%86%ab%e6%a1%88/index.html"/>
  </r>
  <r>
    <x v="14"/>
    <x v="3"/>
    <x v="3"/>
    <s v="臨証指南医案"/>
    <s v="臨證指南醫案"/>
    <s v="葉桂"/>
    <x v="3"/>
    <n v="1746"/>
    <m/>
    <s v="https://jicheng.tw/tcm/book/%e8%87%a8%e8%ad%89%e6%8c%87%e5%8d%97%e9%86%ab%e6%a1%88/index.html"/>
  </r>
  <r>
    <x v="14"/>
    <x v="3"/>
    <x v="3"/>
    <s v="臨証指南医案_1"/>
    <s v="臨證指南醫案_1"/>
    <s v="葉桂"/>
    <x v="3"/>
    <m/>
    <m/>
    <s v="https://jicheng.tw/tcm/book/%e8%87%a8%e8%ad%89%e6%8c%87%e5%8d%97%e9%86%ab%e6%a1%88%5f%31/index.html"/>
  </r>
  <r>
    <x v="14"/>
    <x v="3"/>
    <x v="3"/>
    <s v="王旭高臨証医案"/>
    <s v="王旭高臨證醫案"/>
    <s v="王旭高"/>
    <x v="3"/>
    <n v="1644"/>
    <m/>
    <s v="https://jicheng.tw/tcm/book/%e7%8e%8b%e6%97%ad%e9%ab%98%e8%87%a8%e8%ad%89%e9%86%ab%e6%a1%88/index.html"/>
  </r>
  <r>
    <x v="14"/>
    <x v="3"/>
    <x v="3"/>
    <s v="寓意草"/>
    <s v="寓意草"/>
    <s v="喻昌"/>
    <x v="3"/>
    <n v="1645"/>
    <m/>
    <s v="https://jicheng.tw/tcm/book/%e5%af%93%e6%84%8f%e8%8d%89/index.html"/>
  </r>
  <r>
    <x v="14"/>
    <x v="3"/>
    <x v="3"/>
    <s v="徐批葉天士晩年方案真本"/>
    <s v="徐批葉天士晚年方案真本"/>
    <s v="葉桂"/>
    <x v="3"/>
    <n v="1888"/>
    <m/>
    <s v="https://jicheng.tw/tcm/book/%e5%be%90%e6%89%b9%e8%91%89%e5%a4%a9%e5%a3%ab%e6%99%9a%e5%b9%b4%e6%96%b9%e6%a1%88%e7%9c%9f%e6%9c%ac/index.html"/>
  </r>
  <r>
    <x v="14"/>
    <x v="3"/>
    <x v="3"/>
    <s v="許氏医案 ****"/>
    <s v="許氏醫案 ****"/>
    <s v="許恩普"/>
    <x v="26"/>
    <m/>
    <m/>
    <s v="https://jicheng.tw/tcm/book/%e8%a8%b1%e6%b0%8f%e9%86%ab%e6%a1%88/index.html"/>
  </r>
  <r>
    <x v="14"/>
    <x v="3"/>
    <x v="3"/>
    <s v="許氏医案_1"/>
    <s v="許氏醫案_1"/>
    <m/>
    <x v="1"/>
    <m/>
    <m/>
    <s v="https://jicheng.tw/tcm/book/%e8%a8%b1%e6%b0%8f%e9%86%ab%e6%a1%88%5f%31/index.html"/>
  </r>
  <r>
    <x v="14"/>
    <x v="3"/>
    <x v="3"/>
    <s v="馬培之医案"/>
    <s v="馬培之醫案"/>
    <s v="馬培之"/>
    <x v="3"/>
    <n v="1893"/>
    <m/>
    <s v="https://jicheng.tw/tcm/book/%e9%a6%ac%e5%9f%b9%e4%b9%8b%e9%86%ab%e6%a1%88/index.html"/>
  </r>
  <r>
    <x v="14"/>
    <x v="3"/>
    <x v="3"/>
    <s v="孫文垣医案"/>
    <s v="孫文垣醫案"/>
    <s v="孫一奎"/>
    <x v="5"/>
    <n v="1573"/>
    <m/>
    <s v="https://jicheng.tw/tcm/book/%e5%ad%ab%e6%96%87%e5%9e%a3%e9%86%ab%e6%a1%88/index.html"/>
  </r>
  <r>
    <x v="14"/>
    <x v="3"/>
    <x v="3"/>
    <s v="続名医類案"/>
    <s v="續名醫類案"/>
    <s v="魏之琇"/>
    <x v="3"/>
    <n v="1863"/>
    <m/>
    <s v="https://jicheng.tw/tcm/book/%e7%ba%8c%e5%90%8d%e9%86%ab%e9%a1%9e%e6%a1%88/index.html"/>
  </r>
  <r>
    <x v="14"/>
    <x v="3"/>
    <x v="3"/>
    <s v="続名医類案（四庫本）"/>
    <s v="續名醫類案（四庫本）"/>
    <s v="魏之琇"/>
    <x v="3"/>
    <n v="1770"/>
    <m/>
    <s v="https://jicheng.tw/tcm/book/%E7%BA%8C%E5%90%8D%E9%86%AB%E9%A1%9E%E6%A1%88%EF%BC%88%E5%9B%9B%E5%BA%AB%E6%9C%AC%EF%BC%89/index.html"/>
  </r>
  <r>
    <x v="14"/>
    <x v="3"/>
    <x v="3"/>
    <s v="程杏軒医案"/>
    <s v="程杏軒醫案"/>
    <s v="程文囿"/>
    <x v="3"/>
    <n v="1805"/>
    <m/>
    <s v="https://jicheng.tw/tcm/book/%e7%a8%8b%e6%9d%8f%e8%bb%92%e9%86%ab%e6%a1%88/index.html"/>
  </r>
  <r>
    <x v="14"/>
    <x v="3"/>
    <x v="3"/>
    <s v="三家医案合刻"/>
    <s v="三家醫案合刻"/>
    <s v="吳金壽"/>
    <x v="3"/>
    <n v="1831"/>
    <m/>
    <s v="https://jicheng.tw/tcm/book/%e4%b8%89%e5%ae%b6%e9%86%ab%e6%a1%88%e5%90%88%e5%88%bb/index.html"/>
  </r>
  <r>
    <x v="14"/>
    <x v="3"/>
    <x v="3"/>
    <s v="柳選四家医案"/>
    <s v="柳選四家醫案"/>
    <s v="柳寶詒"/>
    <x v="3"/>
    <n v="1882"/>
    <m/>
    <s v="https://jicheng.tw/tcm/book/%e6%9f%b3%e9%81%b8%e5%9b%9b%e5%ae%b6%e9%86%ab%e6%a1%88/index.html"/>
  </r>
  <r>
    <x v="14"/>
    <x v="3"/>
    <x v="3"/>
    <s v="增補評注柳選医案"/>
    <s v="增補評注柳選醫案"/>
    <s v="柳寶詒"/>
    <x v="3"/>
    <m/>
    <m/>
    <s v="https://jicheng.tw/tcm/book/%e5%a2%9e%e8%a3%9c%e8%a9%95%e6%b3%a8%e6%9f%b3%e9%81%b8%e9%86%ab%e6%a1%88/index.html"/>
  </r>
  <r>
    <x v="14"/>
    <x v="3"/>
    <x v="3"/>
    <s v="眉寿堂方案選存"/>
    <s v="眉壽堂方案選存"/>
    <s v="葉桂撰，郭維浚編"/>
    <x v="3"/>
    <s v="1644-1911"/>
    <m/>
    <s v="https://jicheng.tw/tcm/book/%e7%9c%89%e5%a3%bd%e5%a0%82%e6%96%b9%e6%a1%88%e9%81%b8%e5%ad%98/index.html"/>
  </r>
  <r>
    <x v="14"/>
    <x v="3"/>
    <x v="3"/>
    <s v="丁甘仁医案"/>
    <s v="丁甘仁醫案"/>
    <s v="丁甘仁"/>
    <x v="11"/>
    <n v="1927"/>
    <m/>
    <s v="https://jicheng.tw/tcm/book/%e4%b8%81%e7%94%98%e4%bb%81%e9%86%ab%e6%a1%88/index.html"/>
  </r>
  <r>
    <x v="14"/>
    <x v="3"/>
    <x v="3"/>
    <s v="曹仁伯医案論"/>
    <s v="曹仁伯醫案論"/>
    <s v="曹存心"/>
    <x v="3"/>
    <n v="1815"/>
    <m/>
    <s v="https://jicheng.tw/tcm/book/%e6%9b%b9%e4%bb%81%e4%bc%af%e9%86%ab%e6%a1%88%e8%ab%96/index.html"/>
  </r>
  <r>
    <x v="14"/>
    <x v="3"/>
    <x v="3"/>
    <s v="張畹香医案"/>
    <s v="張畹香醫案"/>
    <s v="張畹香"/>
    <x v="3"/>
    <n v="1874"/>
    <m/>
    <s v="https://jicheng.tw/tcm/book/%e5%bc%b5%e7%95%b9%e9%a6%99%e9%86%ab%e6%a1%88/index.html"/>
  </r>
  <r>
    <x v="14"/>
    <x v="3"/>
    <x v="3"/>
    <s v="葉天士医案精華"/>
    <s v="葉天士醫案精華"/>
    <m/>
    <x v="1"/>
    <m/>
    <m/>
    <s v="https://jicheng.tw/tcm/book/%e8%91%89%e5%a4%a9%e5%a3%ab%e9%86%ab%e6%a1%88%e7%b2%be%e8%8f%af/index.html"/>
  </r>
  <r>
    <x v="14"/>
    <x v="3"/>
    <x v="3"/>
    <s v="也是山人医案"/>
    <s v="也是山人醫案"/>
    <s v="也是山人"/>
    <x v="3"/>
    <m/>
    <m/>
    <s v="https://jicheng.tw/tcm/book/%e4%b9%9f%e6%98%af%e5%b1%b1%e4%ba%ba%e9%86%ab%e6%a1%88/index.html"/>
  </r>
  <r>
    <x v="14"/>
    <x v="3"/>
    <x v="3"/>
    <s v="花韻楼医案"/>
    <s v="花韻樓醫案"/>
    <s v="顧蔓雲"/>
    <x v="3"/>
    <n v="1850"/>
    <m/>
    <s v="https://jicheng.tw/tcm/book/%e8%8a%b1%e9%9f%bb%e6%a8%93%e9%86%ab%e6%a1%88/index.html"/>
  </r>
  <r>
    <x v="14"/>
    <x v="3"/>
    <x v="3"/>
    <s v="診餘挙隅録"/>
    <s v="診餘舉隅錄"/>
    <s v="陳匊生"/>
    <x v="3"/>
    <n v="1897"/>
    <m/>
    <s v="https://jicheng.tw/tcm/book/%e8%a8%ba%e9%a4%98%e8%88%89%e9%9a%85%e9%8c%84/index.html"/>
  </r>
  <r>
    <x v="14"/>
    <x v="3"/>
    <x v="3"/>
    <s v="医権初編"/>
    <s v="醫權初編"/>
    <s v="王三尊"/>
    <x v="3"/>
    <n v="1721"/>
    <m/>
    <s v="https://jicheng.tw/tcm/book/%e9%86%ab%e6%ac%8a%e5%88%9d%e7%b7%a8/index.html"/>
  </r>
  <r>
    <x v="14"/>
    <x v="3"/>
    <x v="3"/>
    <s v="素圃医案"/>
    <s v="素圃醫案"/>
    <s v="鄭重光"/>
    <x v="3"/>
    <n v="1707"/>
    <m/>
    <s v="https://jicheng.tw/tcm/book/%e7%b4%a0%e5%9c%83%e9%86%ab%e6%a1%88/index.html"/>
  </r>
  <r>
    <x v="14"/>
    <x v="3"/>
    <x v="3"/>
    <s v="沈氏医案"/>
    <s v="沈氏醫案"/>
    <s v="沈璠"/>
    <x v="3"/>
    <n v="1730"/>
    <m/>
    <s v="https://jicheng.tw/tcm/book/%e6%b2%88%e6%b0%8f%e9%86%ab%e6%a1%88/index.html"/>
  </r>
  <r>
    <x v="14"/>
    <x v="3"/>
    <x v="3"/>
    <s v="邵氏医案"/>
    <s v="邵氏醫案"/>
    <s v="邵蘭生"/>
    <x v="3"/>
    <m/>
    <m/>
    <s v="https://jicheng.tw/tcm/book/%e9%82%b5%e6%b0%8f%e9%86%ab%e6%a1%88/index.html"/>
  </r>
  <r>
    <x v="14"/>
    <x v="3"/>
    <x v="3"/>
    <s v="掃葉荘医案"/>
    <s v="掃葉莊醫案"/>
    <s v="薛雪"/>
    <x v="3"/>
    <n v="1764"/>
    <m/>
    <s v="https://jicheng.tw/tcm/book/%e6%8e%83%e8%91%89%e8%8e%8a%e9%86%ab%e6%a1%88/index.html"/>
  </r>
  <r>
    <x v="14"/>
    <x v="3"/>
    <x v="3"/>
    <s v="青霞医案"/>
    <s v="青霞醫案"/>
    <s v="沈登階"/>
    <x v="3"/>
    <n v="1892"/>
    <m/>
    <s v="https://jicheng.tw/tcm/book/%e9%9d%92%e9%9c%9e%e9%86%ab%e6%a1%88/index.html"/>
  </r>
  <r>
    <x v="14"/>
    <x v="3"/>
    <x v="3"/>
    <s v="龍砂八家医案"/>
    <s v="龍砂八家醫案"/>
    <s v="姜成芝"/>
    <x v="3"/>
    <n v="1889"/>
    <m/>
    <s v="https://jicheng.tw/tcm/book/%e9%be%8d%e7%a0%82%e5%85%ab%e5%ae%b6%e9%86%ab%e6%a1%88/index.html"/>
  </r>
  <r>
    <x v="14"/>
    <x v="3"/>
    <x v="3"/>
    <s v="黄澹翁医案"/>
    <s v="黃澹翁醫案"/>
    <s v="黃述寧"/>
    <x v="3"/>
    <m/>
    <m/>
    <s v="https://jicheng.tw/tcm/book/%e9%bb%83%e6%be%b9%e7%bf%81%e9%86%ab%e6%a1%88/index.html"/>
  </r>
  <r>
    <x v="14"/>
    <x v="3"/>
    <x v="3"/>
    <s v="環渓草堂医案"/>
    <s v="環溪草堂醫案"/>
    <m/>
    <x v="1"/>
    <m/>
    <m/>
    <s v="https://jicheng.tw/tcm/book/%e7%92%b0%e6%ba%aa%e8%8d%89%e5%a0%82%e9%86%ab%e6%a1%88/index.html"/>
  </r>
  <r>
    <x v="14"/>
    <x v="3"/>
    <x v="3"/>
    <s v="得心集医案"/>
    <s v="得心集醫案"/>
    <s v="謝星煥著，謝甘澍整理"/>
    <x v="3"/>
    <n v="1861"/>
    <m/>
    <s v="https://jicheng.tw/tcm/book/%e5%be%97%e5%bf%83%e9%9b%86%e9%86%ab%e6%a1%88/index.html"/>
  </r>
  <r>
    <x v="14"/>
    <x v="3"/>
    <x v="3"/>
    <s v="鄒亦仲医案新編"/>
    <s v="鄒亦仲醫案新編"/>
    <s v="陳莘田"/>
    <x v="3"/>
    <n v="1892"/>
    <m/>
    <s v="https://jicheng.tw/tcm/book/%e9%84%92%e4%ba%a6%e4%bb%b2%e9%86%ab%e6%a1%88%e6%96%b0%e7%b7%a8/index.html"/>
  </r>
  <r>
    <x v="14"/>
    <x v="3"/>
    <x v="3"/>
    <s v="陳莘田外科方案"/>
    <s v="陳莘田外科方案"/>
    <m/>
    <x v="1"/>
    <m/>
    <m/>
    <s v="https://jicheng.tw/tcm/book/%e9%99%b3%e8%8e%98%e7%94%b0%e5%a4%96%e7%a7%91%e6%96%b9%e6%a1%88/index.html"/>
  </r>
  <r>
    <x v="14"/>
    <x v="3"/>
    <x v="3"/>
    <s v="瘍科指南医案"/>
    <s v="瘍科指南醫案"/>
    <m/>
    <x v="1"/>
    <m/>
    <m/>
    <s v="https://jicheng.tw/tcm/book/%e7%98%8d%e7%a7%91%e6%8c%87%e5%8d%97%e9%86%ab%e6%a1%88/index.html"/>
  </r>
  <r>
    <x v="14"/>
    <x v="3"/>
    <x v="3"/>
    <s v="愛月廬医案"/>
    <s v="愛月廬醫案"/>
    <m/>
    <x v="1"/>
    <m/>
    <m/>
    <s v="https://jicheng.tw/tcm/book/%e6%84%9b%e6%9c%88%e5%bb%ac%e9%86%ab%e6%a1%88/index.html"/>
  </r>
  <r>
    <x v="14"/>
    <x v="3"/>
    <x v="3"/>
    <s v="竹亭医案"/>
    <s v="竹亭醫案"/>
    <m/>
    <x v="1"/>
    <m/>
    <m/>
    <s v="https://jicheng.tw/tcm/book/%e7%ab%b9%e4%ba%ad%e9%86%ab%e6%a1%88/index.html"/>
  </r>
  <r>
    <x v="14"/>
    <x v="3"/>
    <x v="3"/>
    <s v="剣慧草堂医案"/>
    <s v="劍慧草堂醫案"/>
    <m/>
    <x v="1"/>
    <m/>
    <m/>
    <s v="https://jicheng.tw/tcm/book/%e5%8a%8d%e6%85%a7%e8%8d%89%e5%a0%82%e9%86%ab%e6%a1%88/index.html"/>
  </r>
  <r>
    <x v="14"/>
    <x v="3"/>
    <x v="3"/>
    <s v="孤鶴医案"/>
    <s v="孤鶴醫案"/>
    <m/>
    <x v="1"/>
    <m/>
    <m/>
    <s v="https://jicheng.tw/tcm/book/%e5%ad%a4%e9%b6%b4%e9%86%ab%e6%a1%88/index.html"/>
  </r>
  <r>
    <x v="14"/>
    <x v="3"/>
    <x v="3"/>
    <s v="幼科医験"/>
    <s v="幼科醫驗"/>
    <s v="秦昌遇"/>
    <x v="5"/>
    <m/>
    <m/>
    <s v="https://jicheng.tw/tcm/book/%e5%b9%bc%e7%a7%91%e9%86%ab%e9%a9%97/index.html"/>
  </r>
  <r>
    <x v="14"/>
    <x v="3"/>
    <x v="3"/>
    <s v="顧氏医案"/>
    <s v="顧氏醫案"/>
    <m/>
    <x v="1"/>
    <m/>
    <m/>
    <s v="https://jicheng.tw/tcm/book/%e9%a1%a7%e6%b0%8f%e9%86%ab%e6%a1%88/index.html"/>
  </r>
  <r>
    <x v="14"/>
    <x v="3"/>
    <x v="3"/>
    <s v="費縄甫先生医案"/>
    <s v="費繩甫先生醫案"/>
    <m/>
    <x v="1"/>
    <m/>
    <m/>
    <s v="https://jicheng.tw/tcm/book/%e8%b2%bb%e7%b9%a9%e7%94%ab%e5%85%88%e7%94%9f%e9%86%ab%e6%a1%88/index.html"/>
  </r>
  <r>
    <x v="14"/>
    <x v="3"/>
    <x v="3"/>
    <s v="沈兪医案合鈔"/>
    <s v="沈俞醫案合鈔"/>
    <m/>
    <x v="1"/>
    <m/>
    <m/>
    <s v="https://jicheng.tw/tcm/book/%e6%b2%88%e4%bf%9e%e9%86%ab%e6%a1%88%e5%90%88%e9%88%94/index.html"/>
  </r>
  <r>
    <x v="14"/>
    <x v="3"/>
    <x v="3"/>
    <s v="陳蓮舫医案"/>
    <s v="陳蓮舫醫案"/>
    <m/>
    <x v="1"/>
    <m/>
    <m/>
    <s v="https://jicheng.tw/tcm/book/%e9%99%b3%e8%93%ae%e8%88%ab%e9%86%ab%e6%a1%88/index.html"/>
  </r>
  <r>
    <x v="14"/>
    <x v="3"/>
    <x v="3"/>
    <s v="退庵医案"/>
    <s v="退庵醫案"/>
    <m/>
    <x v="1"/>
    <m/>
    <m/>
    <s v="https://jicheng.tw/tcm/book/%e9%80%80%e5%ba%b5%e9%86%ab%e6%a1%88/index.html"/>
  </r>
  <r>
    <x v="14"/>
    <x v="3"/>
    <x v="3"/>
    <s v="旌孝堂医案"/>
    <s v="旌孝堂醫案"/>
    <m/>
    <x v="1"/>
    <m/>
    <m/>
    <s v="https://jicheng.tw/tcm/book/%e6%97%8c%e5%ad%9d%e5%a0%82%e9%86%ab%e6%a1%88/index.html"/>
  </r>
  <r>
    <x v="14"/>
    <x v="3"/>
    <x v="3"/>
    <s v="江沢之医案"/>
    <s v="江澤之醫案"/>
    <m/>
    <x v="1"/>
    <m/>
    <m/>
    <s v="https://jicheng.tw/tcm/book/%e6%b1%9f%e6%be%a4%e4%b9%8b%e9%86%ab%e6%a1%88/index.html"/>
  </r>
  <r>
    <x v="14"/>
    <x v="3"/>
    <x v="3"/>
    <s v="王応震要訣"/>
    <s v="王應震要訣"/>
    <m/>
    <x v="1"/>
    <m/>
    <m/>
    <s v="https://jicheng.tw/tcm/book/%e7%8e%8b%e6%87%89%e9%9c%87%e8%a6%81%e8%a8%a3/index.html"/>
  </r>
  <r>
    <x v="14"/>
    <x v="3"/>
    <x v="3"/>
    <s v="邵氏方案"/>
    <s v="邵氏方案"/>
    <m/>
    <x v="1"/>
    <m/>
    <m/>
    <s v="https://jicheng.tw/tcm/book/%e9%82%b5%e6%b0%8f%e6%96%b9%e6%a1%88/index.html"/>
  </r>
  <r>
    <x v="14"/>
    <x v="3"/>
    <x v="3"/>
    <s v="臨症経応録"/>
    <s v="臨症經應錄"/>
    <m/>
    <x v="1"/>
    <m/>
    <m/>
    <s v="https://jicheng.tw/tcm/book/%e8%87%a8%e7%97%87%e7%b6%93%e6%87%89%e9%8c%84/index.html"/>
  </r>
  <r>
    <x v="14"/>
    <x v="3"/>
    <x v="3"/>
    <s v="王仲奇医案"/>
    <s v="王仲奇醫案"/>
    <m/>
    <x v="1"/>
    <m/>
    <m/>
    <s v="https://jicheng.tw/tcm/book/%e7%8e%8b%e4%bb%b2%e5%a5%87%e9%86%ab%e6%a1%88/index.html"/>
  </r>
  <r>
    <x v="14"/>
    <x v="3"/>
    <x v="3"/>
    <s v="李冠仙医案"/>
    <s v="李冠仙醫案"/>
    <m/>
    <x v="1"/>
    <m/>
    <m/>
    <s v="https://jicheng.tw/tcm/book/%e6%9d%8e%e5%86%a0%e4%bb%99%e9%86%ab%e6%a1%88/index.html"/>
  </r>
  <r>
    <x v="14"/>
    <x v="3"/>
    <x v="3"/>
    <s v="沈菊人医案"/>
    <s v="沈菊人醫案"/>
    <m/>
    <x v="1"/>
    <m/>
    <m/>
    <s v="https://jicheng.tw/tcm/book/%e6%b2%88%e8%8f%8a%e4%ba%ba%e9%86%ab%e6%a1%88/index.html"/>
  </r>
  <r>
    <x v="14"/>
    <x v="3"/>
    <x v="3"/>
    <s v="貫唯集"/>
    <s v="貫唯集"/>
    <m/>
    <x v="1"/>
    <m/>
    <m/>
    <s v="https://jicheng.tw/tcm/book/%e8%b2%ab%e5%94%af%e9%9b%86/index.html"/>
  </r>
  <r>
    <x v="14"/>
    <x v="3"/>
    <x v="3"/>
    <s v="葉天士曹仁伯何元長医案"/>
    <s v="葉天士曹仁伯何元長醫案"/>
    <m/>
    <x v="1"/>
    <m/>
    <m/>
    <s v="https://jicheng.tw/tcm/book/%e8%91%89%e5%a4%a9%e5%a3%ab%e6%9b%b9%e4%bb%81%e4%bc%af%e4%bd%95%e5%85%83%e9%95%b7%e9%86%ab%e6%a1%88/index.html"/>
  </r>
  <r>
    <x v="14"/>
    <x v="3"/>
    <x v="3"/>
    <s v="臨診医案"/>
    <s v="臨診醫案"/>
    <m/>
    <x v="1"/>
    <m/>
    <m/>
    <s v="https://jicheng.tw/tcm/book/%e8%87%a8%e8%a8%ba%e9%86%ab%e6%a1%88/index.html"/>
  </r>
  <r>
    <x v="14"/>
    <x v="3"/>
    <x v="3"/>
    <s v="汪藝香先生医案"/>
    <s v="汪藝香先生醫案"/>
    <m/>
    <x v="1"/>
    <m/>
    <m/>
    <s v="https://jicheng.tw/tcm/book/%e6%b1%aa%e8%97%9d%e9%a6%99%e5%85%88%e7%94%9f%e9%86%ab%e6%a1%88/index.html"/>
  </r>
  <r>
    <x v="14"/>
    <x v="3"/>
    <x v="3"/>
    <s v="徐養恬方案"/>
    <s v="徐養恬方案"/>
    <m/>
    <x v="1"/>
    <m/>
    <m/>
    <s v="https://jicheng.tw/tcm/book/%e5%be%90%e9%a4%8a%e6%81%ac%e6%96%b9%e6%a1%88/index.html"/>
  </r>
  <r>
    <x v="14"/>
    <x v="3"/>
    <x v="3"/>
    <s v="慎五堂治験録"/>
    <s v="慎五堂治驗錄"/>
    <m/>
    <x v="1"/>
    <m/>
    <m/>
    <s v="https://jicheng.tw/tcm/book/%e6%85%8e%e4%ba%94%e5%a0%82%e6%b2%bb%e9%a9%97%e9%8c%84/index.html"/>
  </r>
  <r>
    <x v="14"/>
    <x v="3"/>
    <x v="3"/>
    <s v="遯園医案"/>
    <s v="遯園醫案"/>
    <m/>
    <x v="1"/>
    <m/>
    <m/>
    <s v="https://jicheng.tw/tcm/book/%e9%81%af%e5%9c%92%e9%86%ab%e6%a1%88/index.html"/>
  </r>
  <r>
    <x v="14"/>
    <x v="3"/>
    <x v="3"/>
    <s v="曹仁伯医案"/>
    <s v="曹仁伯醫案"/>
    <m/>
    <x v="1"/>
    <m/>
    <m/>
    <s v="https://jicheng.tw/tcm/book/%e6%9b%b9%e4%bb%81%e4%bc%af%e9%86%ab%e6%a1%88/index.html"/>
  </r>
  <r>
    <x v="14"/>
    <x v="3"/>
    <x v="3"/>
    <s v="経方実験録 ***"/>
    <s v="經方實驗錄 ***"/>
    <s v="曹穎甫"/>
    <x v="3"/>
    <m/>
    <m/>
    <s v="https://jicheng.tw/tcm/book/%e7%b6%93%e6%96%b9%e5%af%a6%e9%a9%97%e9%8c%84%20%2a%2a%2a/index.html"/>
  </r>
  <r>
    <x v="14"/>
    <x v="3"/>
    <x v="3"/>
    <s v="古今医案按"/>
    <s v="古今醫案按"/>
    <s v="俞震"/>
    <x v="3"/>
    <n v="1778"/>
    <m/>
    <s v="https://jicheng.tw/tcm/book/%e5%8f%a4%e4%bb%8a%e9%86%ab%e6%a1%88%e6%8c%89/index.html"/>
  </r>
  <r>
    <x v="14"/>
    <x v="3"/>
    <x v="3"/>
    <s v="古今医案按選"/>
    <s v="古今醫案按選"/>
    <s v="王士雄選"/>
    <x v="3"/>
    <n v="1853"/>
    <m/>
    <s v="https://jicheng.tw/tcm/book/%e5%8f%a4%e4%bb%8a%e9%86%ab%e6%a1%88%e6%8c%89%e9%81%b8/index.html"/>
  </r>
  <r>
    <x v="14"/>
    <x v="3"/>
    <x v="3"/>
    <s v="繆松心医案"/>
    <s v="繆松心醫案"/>
    <m/>
    <x v="1"/>
    <m/>
    <m/>
    <s v="https://jicheng.tw/tcm/book/%e7%b9%86%e6%9d%be%e5%bf%83%e9%86%ab%e6%a1%88/index.html"/>
  </r>
  <r>
    <x v="14"/>
    <x v="3"/>
    <x v="3"/>
    <s v="斉氏医案"/>
    <s v="齊氏醫案"/>
    <s v="齊有堂"/>
    <x v="3"/>
    <n v="1806"/>
    <m/>
    <s v="https://jicheng.tw/tcm/book/%e9%bd%8a%e6%b0%8f%e9%86%ab%e6%a1%88/index.html"/>
  </r>
  <r>
    <x v="14"/>
    <x v="3"/>
    <x v="3"/>
    <s v="松心医案筆記"/>
    <s v="松心醫案筆記"/>
    <s v="繆遵義"/>
    <x v="3"/>
    <n v="1797"/>
    <m/>
    <s v="https://jicheng.tw/tcm/book/%e6%9d%be%e5%bf%83%e9%86%ab%e6%a1%88%e7%ad%86%e8%a8%98/index.html"/>
  </r>
  <r>
    <x v="14"/>
    <x v="3"/>
    <x v="3"/>
    <s v="王九峰医案（一）"/>
    <s v="王九峰醫案（一）"/>
    <s v="王九峰"/>
    <x v="3"/>
    <n v="1813"/>
    <m/>
    <s v="https://jicheng.tw/tcm/book/%E7%8E%8B%E4%B9%9D%E5%B3%B0%E9%86%AB%E6%A1%88%EF%BC%88%E4%B8%80%EF%BC%89/index.html"/>
  </r>
  <r>
    <x v="14"/>
    <x v="3"/>
    <x v="3"/>
    <s v="王九峰医案（二）"/>
    <s v="王九峰醫案（二）"/>
    <s v="王九峰"/>
    <x v="3"/>
    <n v="1813"/>
    <m/>
    <s v="https://jicheng.tw/tcm/book/%E7%8E%8B%E4%B9%9D%E5%B3%B0%E9%86%AB%E6%A1%88%EF%BC%88%E4%BA%8C%EF%BC%89/index.html"/>
  </r>
  <r>
    <x v="14"/>
    <x v="3"/>
    <x v="3"/>
    <s v="王孟英医案"/>
    <s v="王孟英醫案"/>
    <m/>
    <x v="1"/>
    <m/>
    <m/>
    <s v="https://jicheng.tw/tcm/book/%e7%8e%8b%e5%ad%9f%e8%8b%b1%e9%86%ab%e6%a1%88/index.html"/>
  </r>
  <r>
    <x v="14"/>
    <x v="3"/>
    <x v="3"/>
    <s v="葉氏医案存真"/>
    <s v="葉氏醫案存真"/>
    <s v="葉桂撰，葉萬青校正"/>
    <x v="1"/>
    <n v="1836"/>
    <m/>
    <s v="https://jicheng.tw/tcm/book/%e8%91%89%e6%b0%8f%e9%86%ab%e6%a1%88%e5%ad%98%e7%9c%9f/index.html"/>
  </r>
  <r>
    <x v="14"/>
    <x v="3"/>
    <x v="3"/>
    <s v="葉天士医案"/>
    <s v="葉天士醫案"/>
    <m/>
    <x v="1"/>
    <m/>
    <m/>
    <s v="https://jicheng.tw/tcm/book/%e8%91%89%e5%a4%a9%e5%a3%ab%e9%86%ab%e6%a1%88/index.html"/>
  </r>
  <r>
    <x v="14"/>
    <x v="3"/>
    <x v="3"/>
    <s v="里中医案"/>
    <s v="里中醫案"/>
    <m/>
    <x v="1"/>
    <m/>
    <m/>
    <s v="https://jicheng.tw/tcm/book/%e9%87%8c%e4%b8%ad%e9%86%ab%e6%a1%88/index.html"/>
  </r>
  <r>
    <x v="14"/>
    <x v="3"/>
    <x v="3"/>
    <s v="薛案弁疏"/>
    <s v="薛案辨疏"/>
    <s v="薛己撰，錢臨疏"/>
    <x v="1"/>
    <n v="1737"/>
    <m/>
    <s v="https://jicheng.tw/tcm/book/%e8%96%9b%e6%a1%88%e8%be%a8%e7%96%8f/index.html"/>
  </r>
  <r>
    <x v="14"/>
    <x v="3"/>
    <x v="3"/>
    <s v="王氏医案"/>
    <s v="王氏醫案"/>
    <s v="王士雄"/>
    <x v="3"/>
    <n v="1843"/>
    <m/>
    <s v="https://jicheng.tw/tcm/book/%e7%8e%8b%e6%b0%8f%e9%86%ab%e6%a1%88/index.html"/>
  </r>
  <r>
    <x v="14"/>
    <x v="3"/>
    <x v="3"/>
    <s v="王氏医案続編"/>
    <s v="王氏醫案續編"/>
    <s v="王士雄撰，張鴻輯"/>
    <x v="3"/>
    <n v="1850"/>
    <m/>
    <s v="https://jicheng.tw/tcm/book/%e7%8e%8b%e6%b0%8f%e9%86%ab%e6%a1%88%e7%ba%8c%e7%b7%a8/index.html"/>
  </r>
  <r>
    <x v="14"/>
    <x v="3"/>
    <x v="3"/>
    <s v="王氏医案三編"/>
    <s v="王氏醫案三編"/>
    <s v="王士雄撰，徐亞枝輯"/>
    <x v="3"/>
    <n v="1854"/>
    <m/>
    <s v="https://jicheng.tw/tcm/book/%e7%8e%8b%e6%b0%8f%e9%86%ab%e6%a1%88%e4%b8%89%e7%b7%a8/index.html"/>
  </r>
  <r>
    <x v="14"/>
    <x v="3"/>
    <x v="3"/>
    <s v="王氏医案繹註"/>
    <s v="王氏醫案繹註"/>
    <s v="任鍚庚"/>
    <x v="3"/>
    <n v="1644"/>
    <m/>
    <s v="https://jicheng.tw/tcm/book/%e7%8e%8b%e6%b0%8f%e9%86%ab%e6%a1%88%e7%b9%b9%e8%a8%bb/index.html"/>
  </r>
  <r>
    <x v="14"/>
    <x v="3"/>
    <x v="3"/>
    <s v="洄渓医案"/>
    <s v="洄溪醫案"/>
    <s v="徐大椿"/>
    <x v="3"/>
    <n v="1759"/>
    <m/>
    <s v="https://jicheng.tw/tcm/book/%e6%b4%84%e6%ba%aa%e9%86%ab%e6%a1%88/index.html"/>
  </r>
  <r>
    <x v="14"/>
    <x v="3"/>
    <x v="3"/>
    <s v="洄渓医案按"/>
    <s v="洄溪醫案按"/>
    <m/>
    <x v="1"/>
    <m/>
    <m/>
    <s v="https://jicheng.tw/tcm/book/%e6%b4%84%e6%ba%aa%e9%86%ab%e6%a1%88%e6%8c%89/index.html"/>
  </r>
  <r>
    <x v="14"/>
    <x v="3"/>
    <x v="3"/>
    <s v="石山医案"/>
    <s v="石山醫案"/>
    <s v="汪機"/>
    <x v="5"/>
    <n v="1531"/>
    <m/>
    <s v="https://jicheng.tw/tcm/book/%e7%9f%b3%e5%b1%b1%e9%86%ab%e6%a1%88/index.html"/>
  </r>
  <r>
    <x v="14"/>
    <x v="3"/>
    <x v="3"/>
    <s v="弁証奇聞"/>
    <s v="辨證奇聞"/>
    <s v="陳士鐸"/>
    <x v="3"/>
    <n v="1763"/>
    <m/>
    <s v="https://jicheng.tw/tcm/book/%e8%be%a8%e8%ad%89%e5%a5%87%e8%81%9e/index.html"/>
  </r>
  <r>
    <x v="14"/>
    <x v="3"/>
    <x v="3"/>
    <s v="静香楼医案"/>
    <s v="靜香樓醫案"/>
    <s v="尤怡"/>
    <x v="3"/>
    <n v="1729"/>
    <m/>
    <s v="https://jicheng.tw/tcm/book/%e9%9d%9c%e9%a6%99%e6%a8%93%e9%86%ab%e6%a1%88/index.html"/>
  </r>
  <r>
    <x v="14"/>
    <x v="3"/>
    <x v="3"/>
    <s v="孫氏医案"/>
    <s v="孫氏醫案"/>
    <m/>
    <x v="1"/>
    <m/>
    <m/>
    <s v="https://jicheng.tw/tcm/book/%e5%ad%ab%e6%b0%8f%e9%86%ab%e6%a1%88/index.html"/>
  </r>
  <r>
    <x v="14"/>
    <x v="3"/>
    <x v="3"/>
    <s v="千里医案"/>
    <s v="千里醫案"/>
    <m/>
    <x v="1"/>
    <m/>
    <m/>
    <s v="https://jicheng.tw/tcm/book/%e5%8d%83%e9%87%8c%e9%86%ab%e6%a1%88/index.html"/>
  </r>
  <r>
    <x v="14"/>
    <x v="3"/>
    <x v="3"/>
    <s v="崇実堂医案"/>
    <s v="崇實堂醫案"/>
    <s v="姚龍光"/>
    <x v="3"/>
    <n v="1901"/>
    <m/>
    <s v="https://jicheng.tw/tcm/book/%e5%b4%87%e5%af%a6%e5%a0%82%e9%86%ab%e6%a1%88/index.html"/>
  </r>
  <r>
    <x v="14"/>
    <x v="3"/>
    <x v="3"/>
    <s v="延陵弟子紀要"/>
    <s v="延陵弟子紀要"/>
    <s v="曹存心"/>
    <x v="3"/>
    <m/>
    <m/>
    <s v="https://jicheng.tw/tcm/book/%e5%bb%b6%e9%99%b5%e5%bc%9f%e5%ad%90%e7%b4%80%e8%a6%81/index.html"/>
  </r>
  <r>
    <x v="14"/>
    <x v="3"/>
    <x v="3"/>
    <s v="徐渡漁先生医案"/>
    <s v="徐渡漁先生醫案"/>
    <m/>
    <x v="1"/>
    <m/>
    <m/>
    <s v="https://jicheng.tw/tcm/book/%e5%be%90%e6%b8%a1%e6%bc%81%e5%85%88%e7%94%9f%e9%86%ab%e6%a1%88/index.html"/>
  </r>
  <r>
    <x v="14"/>
    <x v="3"/>
    <x v="3"/>
    <s v="推篷寤語"/>
    <s v="推篷寤語"/>
    <s v="李豫亨"/>
    <x v="5"/>
    <n v="1570"/>
    <m/>
    <s v="https://jicheng.tw/tcm/book/%e6%8e%a8%e7%af%b7%e5%af%a4%e8%aa%9e/index.html"/>
  </r>
  <r>
    <x v="14"/>
    <x v="3"/>
    <x v="3"/>
    <s v="旧徳堂医案"/>
    <s v="舊德堂醫案"/>
    <m/>
    <x v="1"/>
    <n v="1687"/>
    <m/>
    <s v="https://jicheng.tw/tcm/book/%e8%88%8a%e5%be%b7%e5%a0%82%e9%86%ab%e6%a1%88/index.html"/>
  </r>
  <r>
    <x v="14"/>
    <x v="3"/>
    <x v="3"/>
    <s v="全国名医験案類編"/>
    <s v="全國名醫驗案類編"/>
    <m/>
    <x v="1"/>
    <m/>
    <m/>
    <s v="https://jicheng.tw/tcm/book/%e5%85%a8%e5%9c%8b%e5%90%8d%e9%86%ab%e9%a9%97%e6%a1%88%e9%a1%9e%e7%b7%a8/index.html"/>
  </r>
  <r>
    <x v="14"/>
    <x v="3"/>
    <x v="3"/>
    <s v="医験大成"/>
    <s v="醫驗大成"/>
    <s v="秦昌遇"/>
    <x v="5"/>
    <n v="1641"/>
    <m/>
    <s v="https://jicheng.tw/tcm/book/%e9%86%ab%e9%a9%97%e5%a4%a7%e6%88%90/index.html"/>
  </r>
  <r>
    <x v="14"/>
    <x v="3"/>
    <x v="3"/>
    <s v="曹滄洲医案"/>
    <s v="曹滄洲醫案"/>
    <m/>
    <x v="1"/>
    <m/>
    <m/>
    <s v="https://jicheng.tw/tcm/book/%e6%9b%b9%e6%bb%84%e6%b4%b2%e9%86%ab%e6%a1%88/index.html"/>
  </r>
  <r>
    <x v="14"/>
    <x v="3"/>
    <x v="3"/>
    <s v="酔花窓医案"/>
    <s v="醉花窗醫案"/>
    <m/>
    <x v="1"/>
    <m/>
    <m/>
    <s v="https://jicheng.tw/tcm/book/%e9%86%89%e8%8a%b1%e7%aa%97%e9%86%ab%e6%a1%88/index.html"/>
  </r>
  <r>
    <x v="14"/>
    <x v="3"/>
    <x v="3"/>
    <s v="一瓢医案"/>
    <s v="一瓢醫案"/>
    <s v="薛雪（薛生白），清·吳金壽子音篡"/>
    <x v="3"/>
    <m/>
    <m/>
    <s v="https://jicheng.tw/tcm/book/%e4%b8%80%e7%93%a2%e9%86%ab%e6%a1%88/index.html"/>
  </r>
  <r>
    <x v="14"/>
    <x v="3"/>
    <x v="3"/>
    <s v="湖岳村叟医案"/>
    <s v="湖岳村叟醫案"/>
    <m/>
    <x v="1"/>
    <m/>
    <m/>
    <s v="https://jicheng.tw/tcm/book/%e6%b9%96%e5%b2%b3%e6%9d%91%e5%8f%9f%e9%86%ab%e6%a1%88/index.html"/>
  </r>
  <r>
    <x v="14"/>
    <x v="3"/>
    <x v="3"/>
    <s v="余無言医案"/>
    <s v="余無言醫案"/>
    <m/>
    <x v="1"/>
    <m/>
    <m/>
    <s v="https://jicheng.tw/tcm/book/%e4%bd%99%e7%84%a1%e8%a8%80%e9%86%ab%e6%a1%88/index.html"/>
  </r>
  <r>
    <x v="14"/>
    <x v="3"/>
    <x v="3"/>
    <s v="医論医話随筆類"/>
    <s v="醫論醫話隨筆類"/>
    <m/>
    <x v="1"/>
    <m/>
    <m/>
    <s v="https://jicheng.tw/tcm/book/%e9%86%ab%e8%ab%96%e9%86%ab%e8%a9%b1%e9%9a%a8%e7%ad%86%e9%a1%9e/index.html"/>
  </r>
  <r>
    <x v="15"/>
    <x v="3"/>
    <x v="3"/>
    <s v="藤氏医談"/>
    <s v="藤氏醫談"/>
    <s v="近藤明"/>
    <x v="1"/>
    <m/>
    <m/>
    <s v="https://jicheng.tw/tcm/book/%e8%97%a4%e6%b0%8f%e9%86%ab%e8%ab%87/index.html"/>
  </r>
  <r>
    <x v="15"/>
    <x v="3"/>
    <x v="3"/>
    <s v="局方発揮"/>
    <s v="局方發揮"/>
    <s v="朱震亨"/>
    <x v="4"/>
    <n v="1356"/>
    <m/>
    <s v="https://jicheng.tw/tcm/book/%e5%b1%80%e6%96%b9%e7%99%bc%e6%8f%ae/index.html"/>
  </r>
  <r>
    <x v="15"/>
    <x v="3"/>
    <x v="3"/>
    <s v="柳洲医話"/>
    <s v="柳洲醫話"/>
    <s v="魏之琇"/>
    <x v="3"/>
    <n v="1851"/>
    <m/>
    <s v="https://jicheng.tw/tcm/book/%e6%9f%b3%e6%b4%b2%e9%86%ab%e8%a9%b1/index.html"/>
  </r>
  <r>
    <x v="15"/>
    <x v="3"/>
    <x v="3"/>
    <s v="馤塘医話"/>
    <s v="馤塘醫話"/>
    <s v="張魯峰"/>
    <x v="3"/>
    <n v="1851"/>
    <m/>
    <s v="https://jicheng.tw/tcm/book/%e9%a6%a4%e5%a1%98%e9%86%ab%e8%a9%b1/index.html"/>
  </r>
  <r>
    <x v="15"/>
    <x v="3"/>
    <x v="3"/>
    <s v="冷廬医話"/>
    <s v="冷廬醫話"/>
    <s v="陸以湉"/>
    <x v="3"/>
    <n v="1858"/>
    <m/>
    <s v="https://jicheng.tw/tcm/book/%e5%86%b7%e5%bb%ac%e9%86%ab%e8%a9%b1/index.html"/>
  </r>
  <r>
    <x v="15"/>
    <x v="3"/>
    <x v="3"/>
    <s v="葉選医衡"/>
    <s v="葉選醫衡"/>
    <m/>
    <x v="1"/>
    <n v="1898"/>
    <m/>
    <s v="https://jicheng.tw/tcm/book/%e8%91%89%e9%81%b8%e9%86%ab%e8%a1%a1/index.html"/>
  </r>
  <r>
    <x v="15"/>
    <x v="3"/>
    <x v="3"/>
    <s v="友漁斎医話"/>
    <s v="友漁齋醫話"/>
    <s v="黃凱鈞"/>
    <x v="3"/>
    <n v="1812"/>
    <m/>
    <s v="https://jicheng.tw/tcm/book/%e5%8f%8b%e6%bc%81%e9%bd%8b%e9%86%ab%e8%a9%b1/index.html"/>
  </r>
  <r>
    <x v="15"/>
    <x v="3"/>
    <x v="3"/>
    <s v="肯堂医論"/>
    <s v="肯堂醫論"/>
    <s v="王肯堂"/>
    <x v="5"/>
    <n v="1602"/>
    <m/>
    <s v="https://jicheng.tw/tcm/book/%e8%82%af%e5%a0%82%e9%86%ab%e8%ab%96/index.html"/>
  </r>
  <r>
    <x v="15"/>
    <x v="3"/>
    <x v="3"/>
    <s v="回春録"/>
    <s v="回春錄"/>
    <s v="王士維"/>
    <x v="3"/>
    <n v="1843"/>
    <m/>
    <s v="https://jicheng.tw/tcm/book/%e5%9b%9e%e6%98%a5%e9%8c%84/index.html"/>
  </r>
  <r>
    <x v="15"/>
    <x v="3"/>
    <x v="3"/>
    <s v="客塵医話"/>
    <s v="客塵醫話"/>
    <s v="計楠"/>
    <x v="3"/>
    <n v="1804"/>
    <m/>
    <s v="https://jicheng.tw/tcm/book/%e5%ae%a2%e5%a1%b5%e9%86%ab%e8%a9%b1/index.html"/>
  </r>
  <r>
    <x v="15"/>
    <x v="3"/>
    <x v="3"/>
    <s v="医学源流論"/>
    <s v="醫學源流論"/>
    <s v="徐大椿"/>
    <x v="3"/>
    <n v="1757"/>
    <m/>
    <s v="https://jicheng.tw/tcm/book/%e9%86%ab%e5%ad%b8%e6%ba%90%e6%b5%81%e8%ab%96/index.html"/>
  </r>
  <r>
    <x v="15"/>
    <x v="3"/>
    <x v="3"/>
    <s v="医学源流論_条列版"/>
    <s v="醫學源流論_條列版"/>
    <s v="徐大椿"/>
    <x v="3"/>
    <n v="1757"/>
    <m/>
    <s v="https://jicheng.tw/tcm/book/%e9%86%ab%e5%ad%b8%e6%ba%90%e6%b5%81%e8%ab%96%5f%e6%a2%9d%e5%88%97%e7%89%88/index.html"/>
  </r>
  <r>
    <x v="15"/>
    <x v="3"/>
    <x v="3"/>
    <s v="対山医話"/>
    <s v="對山醫話"/>
    <s v="毛祥麟"/>
    <x v="3"/>
    <n v="1902"/>
    <m/>
    <s v="https://jicheng.tw/tcm/book/%e5%b0%8d%e5%b1%b1%e9%86%ab%e8%a9%b1/index.html"/>
  </r>
  <r>
    <x v="15"/>
    <x v="3"/>
    <x v="3"/>
    <s v="研経言"/>
    <s v="研經言"/>
    <s v="莫文泉"/>
    <x v="3"/>
    <n v="1871"/>
    <m/>
    <s v="https://jicheng.tw/tcm/book/%e7%a0%94%e7%b6%93%e8%a8%80/index.html"/>
  </r>
  <r>
    <x v="15"/>
    <x v="3"/>
    <x v="3"/>
    <s v="医原"/>
    <s v="醫原"/>
    <s v="石壽堂"/>
    <x v="3"/>
    <n v="1861"/>
    <m/>
    <s v="https://jicheng.tw/tcm/book/%e9%86%ab%e5%8e%9f/index.html"/>
  </r>
  <r>
    <x v="15"/>
    <x v="3"/>
    <x v="3"/>
    <s v="質疑録"/>
    <s v="質疑錄"/>
    <s v="張介賓"/>
    <x v="5"/>
    <n v="1687"/>
    <m/>
    <s v="https://jicheng.tw/tcm/book/%e8%b3%aa%e7%96%91%e9%8c%84/index.html"/>
  </r>
  <r>
    <x v="15"/>
    <x v="3"/>
    <x v="3"/>
    <s v="呉医彙講"/>
    <s v="吳醫彙講"/>
    <s v="唐大烈"/>
    <x v="3"/>
    <n v="1792"/>
    <m/>
    <s v="https://jicheng.tw/tcm/book/%e5%90%b3%e9%86%ab%e5%bd%99%e8%ac%9b/index.html"/>
  </r>
  <r>
    <x v="15"/>
    <x v="3"/>
    <x v="3"/>
    <s v="侶山堂類弁"/>
    <s v="侶山堂類辯"/>
    <s v="張志聰"/>
    <x v="3"/>
    <n v="1670"/>
    <m/>
    <s v="https://jicheng.tw/tcm/book/%e4%be%b6%e5%b1%b1%e5%a0%82%e9%a1%9e%e8%be%af/index.html"/>
  </r>
  <r>
    <x v="15"/>
    <x v="3"/>
    <x v="3"/>
    <s v="医医医"/>
    <s v="醫醫醫"/>
    <s v="孟今氏"/>
    <x v="3"/>
    <n v="1902"/>
    <m/>
    <s v="https://jicheng.tw/tcm/book/%e9%86%ab%e9%86%ab%e9%86%ab/index.html"/>
  </r>
  <r>
    <x v="15"/>
    <x v="3"/>
    <x v="3"/>
    <s v="上池雑説"/>
    <s v="上池雜說"/>
    <s v="馮元成"/>
    <x v="5"/>
    <n v="1644"/>
    <m/>
    <s v="https://jicheng.tw/tcm/book/%e4%b8%8a%e6%b1%a0%e9%9b%9c%e8%aa%aa/index.html"/>
  </r>
  <r>
    <x v="15"/>
    <x v="3"/>
    <x v="3"/>
    <s v="帰硯録"/>
    <s v="歸硯錄"/>
    <s v="王士雄"/>
    <x v="3"/>
    <n v="1861"/>
    <m/>
    <s v="https://jicheng.tw/tcm/book/%e6%ad%b8%e7%a1%af%e9%8c%84/index.html"/>
  </r>
  <r>
    <x v="15"/>
    <x v="3"/>
    <x v="3"/>
    <s v="医経遡洄集"/>
    <s v="醫經溯洄集"/>
    <s v="王履"/>
    <x v="4"/>
    <n v="1368"/>
    <m/>
    <s v="https://jicheng.tw/tcm/book/%e9%86%ab%e7%b6%93%e6%ba%af%e6%b4%84%e9%9b%86/index.html"/>
  </r>
  <r>
    <x v="15"/>
    <x v="3"/>
    <x v="3"/>
    <s v="存存斎医話稿"/>
    <s v="存存齋醫話稿"/>
    <s v="趙晴初"/>
    <x v="3"/>
    <n v="1881"/>
    <m/>
    <s v="https://jicheng.tw/tcm/book/%e5%ad%98%e5%ad%98%e9%bd%8b%e9%86%ab%e8%a9%b1%e7%a8%bf/index.html"/>
  </r>
  <r>
    <x v="15"/>
    <x v="3"/>
    <x v="3"/>
    <s v="医説"/>
    <s v="醫說"/>
    <s v="張杲"/>
    <x v="9"/>
    <n v="1224"/>
    <m/>
    <s v="https://jicheng.tw/tcm/book/%e9%86%ab%e8%aa%aa/index.html"/>
  </r>
  <r>
    <x v="15"/>
    <x v="3"/>
    <x v="3"/>
    <s v="続医説"/>
    <s v="續醫說"/>
    <s v="俞弁"/>
    <x v="5"/>
    <n v="1545"/>
    <m/>
    <s v="https://jicheng.tw/tcm/book/%e7%ba%8c%e9%86%ab%e8%aa%aa/index.html"/>
  </r>
  <r>
    <x v="15"/>
    <x v="3"/>
    <x v="3"/>
    <s v="推求師意"/>
    <s v="推求師意"/>
    <s v="戴思恭"/>
    <x v="5"/>
    <n v="1443"/>
    <m/>
    <s v="https://jicheng.tw/tcm/book/%e6%8e%a8%e6%b1%82%e5%b8%ab%e6%84%8f/index.html"/>
  </r>
  <r>
    <x v="15"/>
    <x v="3"/>
    <x v="3"/>
    <s v="格致餘論"/>
    <s v="格致餘論"/>
    <s v="朱震亨"/>
    <x v="4"/>
    <n v="1347"/>
    <m/>
    <s v="https://jicheng.tw/tcm/book/%e6%a0%bc%e8%87%b4%e9%a4%98%e8%ab%96/index.html"/>
  </r>
  <r>
    <x v="15"/>
    <x v="3"/>
    <x v="3"/>
    <s v="格致餘論_1"/>
    <s v="格致餘論_1"/>
    <s v="朱震亨"/>
    <x v="4"/>
    <m/>
    <m/>
    <s v="https://jicheng.tw/tcm/book/%e6%a0%bc%e8%87%b4%e9%a4%98%e8%ab%96%5f%31/index.html"/>
  </r>
  <r>
    <x v="15"/>
    <x v="3"/>
    <x v="3"/>
    <s v="医旨緒餘"/>
    <s v="醫旨緒餘"/>
    <s v="孫一奎"/>
    <x v="5"/>
    <n v="1573"/>
    <m/>
    <s v="https://jicheng.tw/tcm/book/%e9%86%ab%e6%97%a8%e7%b7%92%e9%a4%98/index.html"/>
  </r>
  <r>
    <x v="15"/>
    <x v="3"/>
    <x v="3"/>
    <s v="褚氏遺書"/>
    <s v="褚氏遺書"/>
    <s v="褚澄"/>
    <x v="23"/>
    <s v="479-502"/>
    <m/>
    <s v="https://jicheng.tw/tcm/book/%e8%a4%9a%e6%b0%8f%e9%81%ba%e6%9b%b8/index.html"/>
  </r>
  <r>
    <x v="15"/>
    <x v="3"/>
    <x v="3"/>
    <s v="履霜集"/>
    <s v="履霜集"/>
    <s v="臧達德"/>
    <x v="3"/>
    <m/>
    <m/>
    <s v="https://jicheng.tw/tcm/book/%e5%b1%a5%e9%9c%9c%e9%9b%86/index.html"/>
  </r>
  <r>
    <x v="15"/>
    <x v="3"/>
    <x v="3"/>
    <s v="西池集"/>
    <s v="西池集"/>
    <m/>
    <x v="1"/>
    <m/>
    <m/>
    <s v="https://jicheng.tw/tcm/book/%e8%a5%bf%e6%b1%a0%e9%9b%86/index.html"/>
  </r>
  <r>
    <x v="15"/>
    <x v="3"/>
    <x v="3"/>
    <s v="心医集"/>
    <s v="心醫集"/>
    <s v="祝登元"/>
    <x v="3"/>
    <n v="1656"/>
    <m/>
    <s v="https://jicheng.tw/tcm/book/%e5%bf%83%e9%86%ab%e9%9b%86/index.html"/>
  </r>
  <r>
    <x v="15"/>
    <x v="3"/>
    <x v="3"/>
    <s v="柳宝詒医論医案"/>
    <s v="柳寶詒醫論醫案"/>
    <m/>
    <x v="1"/>
    <m/>
    <m/>
    <s v="https://jicheng.tw/tcm/book/%e6%9f%b3%e5%af%b6%e8%a9%92%e9%86%ab%e8%ab%96%e9%86%ab%e6%a1%88/index.html"/>
  </r>
  <r>
    <x v="15"/>
    <x v="3"/>
    <x v="3"/>
    <s v="先醒斎医学広筆記"/>
    <s v="先醒齋醫學廣筆記"/>
    <s v="繆希雍"/>
    <x v="5"/>
    <n v="1622"/>
    <m/>
    <s v="https://jicheng.tw/tcm/book/%e5%85%88%e9%86%92%e9%bd%8b%e9%86%ab%e5%ad%b8%e5%bb%a3%e7%ad%86%e8%a8%98/index.html"/>
  </r>
  <r>
    <x v="15"/>
    <x v="3"/>
    <x v="3"/>
    <s v="医家心法"/>
    <s v="醫家心法"/>
    <m/>
    <x v="1"/>
    <m/>
    <m/>
    <s v="https://jicheng.tw/tcm/book/%e9%86%ab%e5%ae%b6%e5%bf%83%e6%b3%95/index.html"/>
  </r>
  <r>
    <x v="15"/>
    <x v="3"/>
    <x v="3"/>
    <s v="医門棒喝"/>
    <s v="醫門棒喝"/>
    <s v="章楠"/>
    <x v="3"/>
    <n v="1825"/>
    <m/>
    <s v="https://jicheng.tw/tcm/book/%e9%86%ab%e9%96%80%e6%a3%92%e5%96%9d/index.html"/>
  </r>
  <r>
    <x v="15"/>
    <x v="3"/>
    <x v="3"/>
    <s v="古書医言"/>
    <s v="古書醫言"/>
    <s v="吉益為則"/>
    <x v="3"/>
    <n v="1814"/>
    <m/>
    <s v="https://jicheng.tw/tcm/book/%e5%8f%a4%e6%9b%b8%e9%86%ab%e8%a8%80/index.html"/>
  </r>
  <r>
    <x v="15"/>
    <x v="3"/>
    <x v="3"/>
    <s v="先哲医話集"/>
    <s v="先哲醫話集"/>
    <s v="長尾藻城"/>
    <x v="1"/>
    <m/>
    <m/>
    <s v="https://jicheng.tw/tcm/book/%e5%85%88%e5%93%b2%e9%86%ab%e8%a9%b1%e9%9b%86/index.html"/>
  </r>
  <r>
    <x v="15"/>
    <x v="3"/>
    <x v="3"/>
    <s v="医砭"/>
    <s v="醫砭"/>
    <s v="徐大椿原撰，王士雄參訂"/>
    <x v="3"/>
    <n v="1850"/>
    <m/>
    <s v="https://jicheng.tw/tcm/book/%e9%86%ab%e7%a0%ad/index.html"/>
  </r>
  <r>
    <x v="15"/>
    <x v="3"/>
    <x v="3"/>
    <s v="言医選評"/>
    <s v="言醫選評"/>
    <s v="裴一中撰，王世雄選評"/>
    <x v="1"/>
    <n v="1851"/>
    <m/>
    <s v="https://jicheng.tw/tcm/book/%e8%a8%80%e9%86%ab%e9%81%b8%e8%a9%95/index.html"/>
  </r>
  <r>
    <x v="15"/>
    <x v="3"/>
    <x v="3"/>
    <s v="医医病書"/>
    <s v="醫醫病書"/>
    <s v="吳瑭"/>
    <x v="3"/>
    <n v="1831"/>
    <m/>
    <s v="https://jicheng.tw/tcm/book/%e9%86%ab%e9%86%ab%e7%97%85%e6%9b%b8/index.html"/>
  </r>
  <r>
    <x v="15"/>
    <x v="3"/>
    <x v="3"/>
    <s v="医学原理"/>
    <s v="醫學原理"/>
    <s v="汪機"/>
    <x v="5"/>
    <m/>
    <m/>
    <s v="https://jicheng.tw/tcm/book/%e9%86%ab%e5%ad%b8%e5%8e%9f%e7%90%86/index.html"/>
  </r>
  <r>
    <x v="15"/>
    <x v="3"/>
    <x v="3"/>
    <s v="医鏡"/>
    <s v="醫鏡"/>
    <s v="王肯堂撰，蔣儀校訂"/>
    <x v="5"/>
    <n v="1641"/>
    <m/>
    <s v="https://jicheng.tw/tcm/book/%e9%86%ab%e9%8f%a1/index.html"/>
  </r>
  <r>
    <x v="15"/>
    <x v="3"/>
    <x v="3"/>
    <s v="医弁"/>
    <s v="醫辨"/>
    <s v="王肯堂"/>
    <x v="5"/>
    <n v="1602"/>
    <m/>
    <s v="https://jicheng.tw/tcm/book/%e9%86%ab%e8%be%a8/index.html"/>
  </r>
  <r>
    <x v="15"/>
    <x v="3"/>
    <x v="3"/>
    <s v="欝岡斎医学筆塵"/>
    <s v="鬱岡齋醫學筆塵"/>
    <s v="王肯堂"/>
    <x v="5"/>
    <m/>
    <m/>
    <s v="https://jicheng.tw/tcm/book/%e9%ac%b1%e5%b2%a1%e9%bd%8b%e9%86%ab%e5%ad%b8%e7%ad%86%e5%a1%b5/index.html"/>
  </r>
  <r>
    <x v="15"/>
    <x v="3"/>
    <x v="3"/>
    <s v="医学窮源集"/>
    <s v="醫學窮源集"/>
    <s v="王肯堂撰，殷宅心輯釋"/>
    <x v="1"/>
    <n v="1628"/>
    <m/>
    <s v="https://jicheng.tw/tcm/book/%e9%86%ab%e5%ad%b8%e7%aa%ae%e6%ba%90%e9%9b%86/index.html"/>
  </r>
  <r>
    <x v="15"/>
    <x v="3"/>
    <x v="3"/>
    <s v="医易通説"/>
    <s v="醫易通說"/>
    <s v="唐宗海"/>
    <x v="3"/>
    <n v="1892"/>
    <m/>
    <s v="https://jicheng.tw/tcm/book/%e9%86%ab%e6%98%93%e9%80%9a%e8%aa%aa/index.html"/>
  </r>
  <r>
    <x v="15"/>
    <x v="3"/>
    <x v="3"/>
    <s v="医貫砭"/>
    <s v="醫貫砭"/>
    <s v="徐大椿"/>
    <x v="3"/>
    <n v="1764"/>
    <m/>
    <s v="https://jicheng.tw/tcm/book/%e9%86%ab%e8%b2%ab%e7%a0%ad/index.html"/>
  </r>
  <r>
    <x v="15"/>
    <x v="3"/>
    <x v="3"/>
    <s v="西渓書屋夜話録"/>
    <s v="西溪書屋夜話錄"/>
    <s v="王泰林撰，周鎮輯錄"/>
    <x v="1"/>
    <n v="1897"/>
    <m/>
    <s v="https://jicheng.tw/tcm/book/%e8%a5%bf%e6%ba%aa%e6%9b%b8%e5%b1%8b%e5%a4%9c%e8%a9%b1%e9%8c%84/index.html"/>
  </r>
  <r>
    <x v="15"/>
    <x v="3"/>
    <x v="3"/>
    <s v="叢桂偶記"/>
    <s v="叢桂偶記"/>
    <s v="原昌克"/>
    <x v="3"/>
    <n v="1800"/>
    <m/>
    <s v="https://jicheng.tw/tcm/book/%e5%8f%a2%e6%a1%82%e5%81%b6%e8%a8%98/index.html"/>
  </r>
  <r>
    <x v="15"/>
    <x v="3"/>
    <x v="3"/>
    <s v="医餘"/>
    <s v="醫餘"/>
    <s v="尾台逸士超"/>
    <x v="3"/>
    <n v="1862"/>
    <m/>
    <s v="https://jicheng.tw/tcm/book/%e9%86%ab%e9%a4%98/index.html"/>
  </r>
  <r>
    <x v="15"/>
    <x v="3"/>
    <x v="3"/>
    <s v="医賸"/>
    <s v="醫賸"/>
    <s v="櫟蔭拙者"/>
    <x v="3"/>
    <n v="1809"/>
    <m/>
    <s v="https://jicheng.tw/tcm/book/%e9%86%ab%e8%b3%b8/index.html"/>
  </r>
  <r>
    <x v="15"/>
    <x v="3"/>
    <x v="3"/>
    <s v="青囊瑣探"/>
    <s v="青囊瑣探"/>
    <s v="片倉元周"/>
    <x v="1"/>
    <m/>
    <m/>
    <s v="https://jicheng.tw/tcm/book/%e9%9d%92%e5%9b%8a%e7%91%a3%e6%8e%a2/index.html"/>
  </r>
  <r>
    <x v="15"/>
    <x v="3"/>
    <x v="3"/>
    <s v="医断与斥医断"/>
    <s v="醫斷與斥醫斷"/>
    <s v="鶴沖元逸"/>
    <x v="1"/>
    <m/>
    <m/>
    <s v="https://jicheng.tw/tcm/book/%e9%86%ab%e6%96%b7%e8%88%87%e6%96%a5%e9%86%ab%e6%96%b7/index.html"/>
  </r>
  <r>
    <x v="15"/>
    <x v="3"/>
    <x v="3"/>
    <s v="生生堂治験"/>
    <s v="生生堂治驗"/>
    <s v="中神琴溪撰，小野遜編"/>
    <x v="1"/>
    <m/>
    <m/>
    <s v="https://jicheng.tw/tcm/book/%e7%94%9f%e7%94%9f%e5%a0%82%e6%b2%bb%e9%a9%97/index.html"/>
  </r>
  <r>
    <x v="15"/>
    <x v="3"/>
    <x v="3"/>
    <s v="建殊録"/>
    <s v="建殊錄"/>
    <s v="吉益為則撰，岩恭敬輯錄"/>
    <x v="1"/>
    <m/>
    <m/>
    <s v="https://jicheng.tw/tcm/book/%e5%bb%ba%e6%ae%8a%e9%8c%84/index.html"/>
  </r>
  <r>
    <x v="15"/>
    <x v="3"/>
    <x v="3"/>
    <s v="毛対山医話"/>
    <s v="毛對山醫話"/>
    <m/>
    <x v="1"/>
    <m/>
    <m/>
    <s v="https://jicheng.tw/tcm/book/%e6%af%9b%e5%b0%8d%e5%b1%b1%e9%86%ab%e8%a9%b1/index.html"/>
  </r>
  <r>
    <x v="15"/>
    <x v="3"/>
    <x v="3"/>
    <s v="琉球問答奇病論"/>
    <s v="琉球問答奇病論"/>
    <m/>
    <x v="1"/>
    <m/>
    <m/>
    <s v="https://jicheng.tw/tcm/book/%e7%90%89%e7%90%83%e5%95%8f%e7%ad%94%e5%a5%87%e7%97%85%e8%ab%96/index.html"/>
  </r>
  <r>
    <x v="15"/>
    <x v="3"/>
    <x v="3"/>
    <s v="医林瑣語"/>
    <s v="醫林瑣語"/>
    <s v="陸九芝"/>
    <x v="3"/>
    <m/>
    <m/>
    <s v="https://jicheng.tw/tcm/book/%e9%86%ab%e6%9e%97%e7%91%a3%e8%aa%9e/index.html"/>
  </r>
  <r>
    <x v="15"/>
    <x v="3"/>
    <x v="3"/>
    <s v="医粋精言"/>
    <s v="醫粹精言"/>
    <s v="徐延祚"/>
    <x v="3"/>
    <n v="1895"/>
    <m/>
    <s v="https://jicheng.tw/tcm/book/%e9%86%ab%e7%b2%b9%e7%b2%be%e8%a8%80/index.html"/>
  </r>
  <r>
    <x v="15"/>
    <x v="3"/>
    <x v="3"/>
    <s v="存粋医話"/>
    <s v="存粹醫話"/>
    <s v="陸錦燧"/>
    <x v="3"/>
    <m/>
    <m/>
    <s v="https://jicheng.tw/tcm/book/%e5%ad%98%e7%b2%b9%e9%86%ab%e8%a9%b1/index.html"/>
  </r>
  <r>
    <x v="15"/>
    <x v="3"/>
    <x v="3"/>
    <s v="客窓偶談"/>
    <s v="客窗偶談"/>
    <s v="沈明宗"/>
    <x v="3"/>
    <n v="1693"/>
    <m/>
    <s v="https://jicheng.tw/tcm/book/%e5%ae%a2%e7%aa%97%e5%81%b6%e8%ab%87/index.html"/>
  </r>
  <r>
    <x v="15"/>
    <x v="3"/>
    <x v="3"/>
    <s v="怡堂散記"/>
    <s v="怡堂散記"/>
    <s v="許豫和"/>
    <x v="3"/>
    <n v="1785"/>
    <m/>
    <s v="https://jicheng.tw/tcm/book/%e6%80%a1%e5%a0%82%e6%95%a3%e8%a8%98/index.html"/>
  </r>
  <r>
    <x v="15"/>
    <x v="3"/>
    <x v="3"/>
    <s v="願体医話"/>
    <s v="願體醫話"/>
    <s v="史典撰，俞世貴參補，王士雄校刊"/>
    <x v="3"/>
    <n v="1838"/>
    <m/>
    <s v="https://jicheng.tw/tcm/book/%e9%a1%98%e9%ab%94%e9%86%ab%e8%a9%b1/index.html"/>
  </r>
  <r>
    <x v="15"/>
    <x v="3"/>
    <x v="3"/>
    <s v="慈済医話"/>
    <s v="慈濟醫話"/>
    <m/>
    <x v="1"/>
    <m/>
    <m/>
    <s v="https://jicheng.tw/tcm/book/%e6%85%88%e6%bf%9f%e9%86%ab%e8%a9%b1/index.html"/>
  </r>
  <r>
    <x v="15"/>
    <x v="3"/>
    <x v="3"/>
    <s v="懶園医語"/>
    <s v="懶園醫語"/>
    <m/>
    <x v="1"/>
    <m/>
    <m/>
    <s v="https://jicheng.tw/tcm/book/%e6%87%b6%e5%9c%92%e9%86%ab%e8%aa%9e/index.html"/>
  </r>
  <r>
    <x v="15"/>
    <x v="3"/>
    <x v="3"/>
    <s v="折肱漫録"/>
    <s v="折肱漫錄"/>
    <s v="黃承昊"/>
    <x v="5"/>
    <m/>
    <m/>
    <s v="https://jicheng.tw/tcm/book/%e6%8a%98%e8%82%b1%e6%bc%ab%e9%8c%84/index.html"/>
  </r>
  <r>
    <x v="15"/>
    <x v="3"/>
    <x v="3"/>
    <s v="景景医話"/>
    <s v="景景醫話"/>
    <m/>
    <x v="1"/>
    <m/>
    <m/>
    <s v="https://jicheng.tw/tcm/book/%e6%99%af%e6%99%af%e9%86%ab%e8%a9%b1/index.html"/>
  </r>
  <r>
    <x v="15"/>
    <x v="3"/>
    <x v="3"/>
    <s v="景景室医稿雑存"/>
    <s v="景景室醫稿雜存"/>
    <m/>
    <x v="1"/>
    <m/>
    <m/>
    <s v="https://jicheng.tw/tcm/book/%e6%99%af%e6%99%af%e5%ae%a4%e9%86%ab%e7%a8%bf%e9%9b%9c%e5%ad%98/index.html"/>
  </r>
  <r>
    <x v="15"/>
    <x v="3"/>
    <x v="3"/>
    <s v="留香館医話"/>
    <s v="留香館醫話"/>
    <m/>
    <x v="1"/>
    <m/>
    <m/>
    <s v="https://jicheng.tw/tcm/book/%e7%95%99%e9%a6%99%e9%a4%a8%e9%86%ab%e8%a9%b1/index.html"/>
  </r>
  <r>
    <x v="15"/>
    <x v="3"/>
    <x v="3"/>
    <s v="素軒医語"/>
    <s v="素軒醫語"/>
    <m/>
    <x v="1"/>
    <m/>
    <m/>
    <s v="https://jicheng.tw/tcm/book/%e7%b4%a0%e8%bb%92%e9%86%ab%e8%aa%9e/index.html"/>
  </r>
  <r>
    <x v="15"/>
    <x v="3"/>
    <x v="3"/>
    <s v="裴子言医"/>
    <s v="裴子言醫"/>
    <s v="裴一中"/>
    <x v="5"/>
    <n v="1644"/>
    <m/>
    <s v="https://jicheng.tw/tcm/book/%e8%a3%b4%e5%ad%90%e8%a8%80%e9%86%ab/index.html"/>
  </r>
  <r>
    <x v="15"/>
    <x v="3"/>
    <x v="3"/>
    <s v="覚廬医話録存"/>
    <s v="覺廬醫話錄存"/>
    <s v="盧覺愚"/>
    <x v="1"/>
    <m/>
    <m/>
    <s v="https://jicheng.tw/tcm/book/%e8%a6%ba%e5%bb%ac%e9%86%ab%e8%a9%b1%e9%8c%84%e5%ad%98/index.html"/>
  </r>
  <r>
    <x v="15"/>
    <x v="3"/>
    <x v="3"/>
    <s v="谷蓀医話"/>
    <s v="谷蓀醫話"/>
    <m/>
    <x v="1"/>
    <m/>
    <m/>
    <s v="https://jicheng.tw/tcm/book/%e8%b0%b7%e8%93%80%e9%86%ab%e8%a9%b1/index.html"/>
  </r>
  <r>
    <x v="15"/>
    <x v="3"/>
    <x v="3"/>
    <s v="郎中医話"/>
    <s v="郎中醫話"/>
    <m/>
    <x v="1"/>
    <m/>
    <m/>
    <s v="https://jicheng.tw/tcm/book/%e9%83%8e%e4%b8%ad%e9%86%ab%e8%a9%b1/index.html"/>
  </r>
  <r>
    <x v="15"/>
    <x v="3"/>
    <x v="3"/>
    <s v="金台医案"/>
    <s v="金臺醫案"/>
    <m/>
    <x v="1"/>
    <m/>
    <m/>
    <s v="https://jicheng.tw/tcm/book/%e9%87%91%e8%87%ba%e9%86%ab%e6%a1%88/index.html"/>
  </r>
  <r>
    <x v="15"/>
    <x v="3"/>
    <x v="3"/>
    <s v="靖庵説医"/>
    <s v="靖庵說醫"/>
    <s v="周聲溢"/>
    <x v="3"/>
    <m/>
    <m/>
    <s v="https://jicheng.tw/tcm/book/%e9%9d%96%e5%ba%b5%e8%aa%aa%e9%86%ab/index.html"/>
  </r>
  <r>
    <x v="15"/>
    <x v="3"/>
    <x v="3"/>
    <s v="黄氏医話"/>
    <s v="黃氏醫話"/>
    <m/>
    <x v="1"/>
    <m/>
    <m/>
    <s v="https://jicheng.tw/tcm/book/%e9%bb%83%e6%b0%8f%e9%86%ab%e8%a9%b1/index.html"/>
  </r>
  <r>
    <x v="15"/>
    <x v="3"/>
    <x v="3"/>
    <s v="医学伝心録"/>
    <s v="醫學傳心錄"/>
    <s v="似為劉一仁所著，錢樂天得秘本"/>
    <x v="3"/>
    <n v="1839"/>
    <m/>
    <s v="https://jicheng.tw/tcm/book/%e9%86%ab%e5%ad%b8%e5%82%b3%e5%bf%83%e9%8c%84/index.html"/>
  </r>
  <r>
    <x v="15"/>
    <x v="3"/>
    <x v="3"/>
    <s v="医医十病"/>
    <s v="醫醫十病"/>
    <m/>
    <x v="1"/>
    <m/>
    <m/>
    <s v="https://jicheng.tw/tcm/book/%e9%86%ab%e9%86%ab%e5%8d%81%e7%97%85/index.html"/>
  </r>
  <r>
    <x v="15"/>
    <x v="3"/>
    <x v="3"/>
    <s v="士諤医話"/>
    <s v="士諤醫話"/>
    <s v="陸士諤著，王君慧點校"/>
    <x v="1"/>
    <m/>
    <m/>
    <s v="https://jicheng.tw/tcm/book/%e5%a3%ab%e8%ab%a4%e9%86%ab%e8%a9%b1/index.html"/>
  </r>
  <r>
    <x v="15"/>
    <x v="3"/>
    <x v="3"/>
    <s v="止園医話 ***"/>
    <s v="止園醫話 ***"/>
    <s v="羅文傑著，張紹舜、郭柳霞點校"/>
    <x v="25"/>
    <n v="1938"/>
    <m/>
    <s v="https://jicheng.tw/tcm/book/%E6%AD%A2%E5%9C%92%E9%86%AB%E8%A9%B1/index.html"/>
  </r>
  <r>
    <x v="15"/>
    <x v="3"/>
    <x v="3"/>
    <s v="読医随筆"/>
    <s v="讀醫隨筆"/>
    <s v="周學海"/>
    <x v="3"/>
    <n v="1898"/>
    <m/>
    <s v="https://jicheng.tw/tcm/book/%e8%ae%80%e9%86%ab%e9%9a%a8%e7%ad%86/index.html"/>
  </r>
  <r>
    <x v="15"/>
    <x v="3"/>
    <x v="3"/>
    <s v="知医必弁"/>
    <s v="知醫必辨"/>
    <s v="李冠仙"/>
    <x v="3"/>
    <n v="1849"/>
    <m/>
    <s v="https://jicheng.tw/tcm/book/%e7%9f%a5%e9%86%ab%e5%bf%85%e8%be%a8/index.html"/>
  </r>
  <r>
    <x v="15"/>
    <x v="3"/>
    <x v="3"/>
    <s v="慎疾芻言"/>
    <s v="慎疾芻言"/>
    <s v="徐大椿"/>
    <x v="3"/>
    <n v="1767"/>
    <m/>
    <s v="https://jicheng.tw/tcm/book/%e6%85%8e%e7%96%be%e8%8a%bb%e8%a8%80/index.html"/>
  </r>
  <r>
    <x v="15"/>
    <x v="3"/>
    <x v="3"/>
    <s v="市隠廬医学雑著"/>
    <s v="市隱廬醫學雜著"/>
    <s v="王德森"/>
    <x v="3"/>
    <n v="1753"/>
    <m/>
    <s v="https://jicheng.tw/tcm/book/%e5%b8%82%e9%9a%b1%e5%bb%ac%e9%86%ab%e5%ad%b8%e9%9b%9c%e8%91%97/index.html"/>
  </r>
  <r>
    <x v="15"/>
    <x v="3"/>
    <x v="3"/>
    <s v="医学読書記"/>
    <s v="醫學讀書記"/>
    <s v="尤怡"/>
    <x v="3"/>
    <n v="1729"/>
    <m/>
    <s v="https://jicheng.tw/tcm/book/%e9%86%ab%e5%ad%b8%e8%ae%80%e6%9b%b8%e8%a8%98/index.html"/>
  </r>
  <r>
    <x v="15"/>
    <x v="3"/>
    <x v="3"/>
    <s v="医暇卮言"/>
    <s v="醫暇卮言"/>
    <s v="程林"/>
    <x v="3"/>
    <n v="1676"/>
    <m/>
    <s v="https://jicheng.tw/tcm/book/%e9%86%ab%e6%9a%87%e5%8d%ae%e8%a8%80/index.html"/>
  </r>
  <r>
    <x v="15"/>
    <x v="3"/>
    <x v="3"/>
    <s v="重慶堂随筆"/>
    <s v="重慶堂隨筆"/>
    <s v="王學權"/>
    <x v="3"/>
    <n v="1808"/>
    <m/>
    <s v="https://jicheng.tw/tcm/book/%e9%87%8d%e6%85%b6%e5%a0%82%e9%9a%a8%e7%ad%86/index.html"/>
  </r>
  <r>
    <x v="15"/>
    <x v="3"/>
    <x v="3"/>
    <s v="医学課児策"/>
    <s v="醫學課兒策"/>
    <s v="高鼎汾"/>
    <x v="3"/>
    <m/>
    <m/>
    <s v="https://jicheng.tw/tcm/book/%e9%86%ab%e5%ad%b8%e8%aa%b2%e5%85%92%e7%ad%96/index.html"/>
  </r>
  <r>
    <x v="15"/>
    <x v="3"/>
    <x v="3"/>
    <s v="一得集"/>
    <s v="一得集"/>
    <s v="心禪僧"/>
    <x v="3"/>
    <n v="1889"/>
    <m/>
    <s v="https://jicheng.tw/tcm/book/%e4%b8%80%e5%be%97%e9%9b%86/index.html"/>
  </r>
  <r>
    <x v="15"/>
    <x v="3"/>
    <x v="3"/>
    <s v="医医小草"/>
    <s v="醫醫小草"/>
    <s v="寶輝"/>
    <x v="3"/>
    <n v="1901"/>
    <m/>
    <s v="https://jicheng.tw/tcm/book/%e9%86%ab%e9%86%ab%e5%b0%8f%e8%8d%89/index.html"/>
  </r>
  <r>
    <x v="15"/>
    <x v="3"/>
    <x v="3"/>
    <s v="蠢子医"/>
    <s v="蠢子醫"/>
    <s v="龍繪堂"/>
    <x v="3"/>
    <n v="1882"/>
    <m/>
    <s v="https://jicheng.tw/tcm/book/%e8%a0%a2%e5%ad%90%e9%86%ab/index.html"/>
  </r>
  <r>
    <x v="15"/>
    <x v="3"/>
    <x v="3"/>
    <s v="王楽亭指要"/>
    <s v="王樂亭指要"/>
    <m/>
    <x v="1"/>
    <m/>
    <m/>
    <s v="https://jicheng.tw/tcm/book/%e7%8e%8b%e6%a8%82%e4%ba%ad%e6%8c%87%e8%a6%81/index.html"/>
  </r>
  <r>
    <x v="15"/>
    <x v="3"/>
    <x v="3"/>
    <s v="寿山筆記"/>
    <s v="壽山筆記"/>
    <m/>
    <x v="1"/>
    <m/>
    <m/>
    <s v="https://jicheng.tw/tcm/book/%e5%a3%bd%e5%b1%b1%e7%ad%86%e8%a8%98/index.html"/>
  </r>
  <r>
    <x v="15"/>
    <x v="3"/>
    <x v="3"/>
    <s v="瘦吟医贅"/>
    <s v="瘦吟醫贅"/>
    <m/>
    <x v="1"/>
    <m/>
    <m/>
    <s v="https://jicheng.tw/tcm/book/%e7%98%a6%e5%90%9f%e9%86%ab%e8%b4%85/index.html"/>
  </r>
  <r>
    <x v="15"/>
    <x v="3"/>
    <x v="3"/>
    <s v="医学読書志"/>
    <s v="醫學讀書志"/>
    <s v="曹禾"/>
    <x v="3"/>
    <n v="1851"/>
    <m/>
    <s v="https://jicheng.tw/tcm/book/%e9%86%ab%e5%ad%b8%e8%ae%80%e6%9b%b8%e5%bf%97/index.html"/>
  </r>
  <r>
    <x v="15"/>
    <x v="3"/>
    <x v="3"/>
    <s v="乗桴医影"/>
    <s v="乘桴醫影"/>
    <s v="王士雄"/>
    <x v="3"/>
    <n v="1862"/>
    <m/>
    <s v="https://jicheng.tw/tcm/book/%e4%b9%98%e6%a1%b4%e9%86%ab%e5%bd%b1/index.html"/>
  </r>
  <r>
    <x v="16"/>
    <x v="3"/>
    <x v="3"/>
    <s v="医貫"/>
    <s v="醫貫"/>
    <s v="趙獻可"/>
    <x v="5"/>
    <n v="1687"/>
    <m/>
    <s v="https://jicheng.tw/tcm/book/%e9%86%ab%e8%b2%ab/index.html"/>
  </r>
  <r>
    <x v="16"/>
    <x v="3"/>
    <x v="3"/>
    <s v="諸病源候論"/>
    <s v="諸病源候論"/>
    <s v="巢元方"/>
    <x v="24"/>
    <n v="614"/>
    <m/>
    <s v="https://jicheng.tw/tcm/book/%e8%ab%b8%e7%97%85%e6%ba%90%e5%80%99%e8%ab%96/index.html"/>
  </r>
  <r>
    <x v="16"/>
    <x v="3"/>
    <x v="3"/>
    <s v="諸病源候論_1"/>
    <s v="諸病源候論_1"/>
    <s v="巢元方"/>
    <x v="24"/>
    <m/>
    <m/>
    <s v="https://jicheng.tw/tcm/book/%e8%ab%b8%e7%97%85%e6%ba%90%e5%80%99%e8%ab%96%5f%31/index.html"/>
  </r>
  <r>
    <x v="16"/>
    <x v="3"/>
    <x v="3"/>
    <s v="全体病源類纂"/>
    <s v="全體病源類纂"/>
    <m/>
    <x v="1"/>
    <m/>
    <m/>
    <s v="https://jicheng.tw/tcm/book/%e5%85%a8%e9%ab%94%e7%97%85%e6%ba%90%e9%a1%9e%e7%ba%82/index.html"/>
  </r>
  <r>
    <x v="16"/>
    <x v="3"/>
    <x v="3"/>
    <s v="周慎斎遺書"/>
    <s v="周慎齋遺書"/>
    <s v="周之幹著，門人整理，勾吳逋人刊行"/>
    <x v="3"/>
    <m/>
    <m/>
    <s v="https://jicheng.tw/tcm/book/%e5%91%a8%e6%85%8e%e9%bd%8b%e9%81%ba%e6%9b%b8/index.html"/>
  </r>
  <r>
    <x v="16"/>
    <x v="3"/>
    <x v="3"/>
    <s v="韓氏医通"/>
    <s v="韓氏醫通"/>
    <s v="韓懋"/>
    <x v="5"/>
    <n v="1522"/>
    <m/>
    <s v="https://jicheng.tw/tcm/book/%e9%9f%93%e6%b0%8f%e9%86%ab%e9%80%9a/index.html"/>
  </r>
  <r>
    <x v="16"/>
    <x v="3"/>
    <x v="3"/>
    <s v="医学挙要"/>
    <s v="醫學舉要"/>
    <s v="徐鏞"/>
    <x v="3"/>
    <n v="1843"/>
    <m/>
    <s v="https://jicheng.tw/tcm/book/%e9%86%ab%e5%ad%b8%e8%88%89%e8%a6%81/index.html"/>
  </r>
  <r>
    <x v="16"/>
    <x v="3"/>
    <x v="3"/>
    <s v="玉台新案_1"/>
    <s v="玉台新案_1"/>
    <s v="徐鏞"/>
    <x v="3"/>
    <m/>
    <m/>
    <s v="https://jicheng.tw/tcm/book/%e7%8e%89%e5%8f%b0%e6%96%b0%e6%a1%88%5f%31/index.html"/>
  </r>
  <r>
    <x v="16"/>
    <x v="3"/>
    <x v="3"/>
    <s v="医門法律"/>
    <s v="醫門法律"/>
    <s v="喻昌"/>
    <x v="3"/>
    <n v="1658"/>
    <m/>
    <s v="https://jicheng.tw/tcm/book/%e9%86%ab%e9%96%80%e6%b3%95%e5%be%8b/index.html"/>
  </r>
  <r>
    <x v="16"/>
    <x v="3"/>
    <x v="3"/>
    <s v="医林改錯"/>
    <s v="醫林改錯"/>
    <s v="王清任"/>
    <x v="3"/>
    <n v="1830"/>
    <m/>
    <s v="https://jicheng.tw/tcm/book/%e9%86%ab%e6%9e%97%e6%94%b9%e9%8c%af/index.html"/>
  </r>
  <r>
    <x v="16"/>
    <x v="3"/>
    <x v="3"/>
    <s v="医林改錯_1"/>
    <s v="醫林改錯_1"/>
    <s v="王清任"/>
    <x v="3"/>
    <n v="1830"/>
    <m/>
    <s v="https://jicheng.tw/tcm/book/%e9%86%ab%e6%9e%97%e6%94%b9%e9%8c%af%5f%31/index.html"/>
  </r>
  <r>
    <x v="16"/>
    <x v="3"/>
    <x v="3"/>
    <s v="筆花医鏡"/>
    <s v="筆花醫鏡"/>
    <s v="江秋"/>
    <x v="3"/>
    <n v="1834"/>
    <m/>
    <s v="https://jicheng.tw/tcm/book/%e7%ad%86%e8%8a%b1%e9%86%ab%e9%8f%a1/index.html"/>
  </r>
  <r>
    <x v="16"/>
    <x v="3"/>
    <x v="3"/>
    <s v="脈因証治"/>
    <s v="脈因證治"/>
    <s v="舊題元·朱震亨著，清·湯望久校輯"/>
    <x v="4"/>
    <n v="1775"/>
    <m/>
    <s v="https://jicheng.tw/tcm/book/%e8%84%88%e5%9b%a0%e8%ad%89%e6%b2%bb/index.html"/>
  </r>
  <r>
    <x v="16"/>
    <x v="3"/>
    <x v="3"/>
    <s v="素問玄機原病式"/>
    <s v="素問玄機原病式"/>
    <s v="劉完素"/>
    <x v="6"/>
    <n v="1188"/>
    <m/>
    <s v="https://jicheng.tw/tcm/book/%e7%b4%a0%e5%95%8f%e7%8e%84%e6%a9%9f%e5%8e%9f%e7%97%85%e5%bc%8f/index.html"/>
  </r>
  <r>
    <x v="16"/>
    <x v="3"/>
    <x v="3"/>
    <s v="素問玄機原病式_1"/>
    <s v="素問玄機原病式_1"/>
    <s v="劉完素"/>
    <x v="6"/>
    <m/>
    <m/>
    <s v="https://jicheng.tw/tcm/book/%e7%b4%a0%e5%95%8f%e7%8e%84%e6%a9%9f%e5%8e%9f%e7%97%85%e5%bc%8f%5f%31/index.html"/>
  </r>
  <r>
    <x v="16"/>
    <x v="3"/>
    <x v="3"/>
    <s v="華氏中蔵経"/>
    <s v="華氏中藏經"/>
    <s v="華佗"/>
    <x v="21"/>
    <s v="145-208"/>
    <m/>
    <s v="https://jicheng.tw/tcm/book/%e8%8f%af%e6%b0%8f%e4%b8%ad%e8%97%8f%e7%b6%93/index.html"/>
  </r>
  <r>
    <x v="16"/>
    <x v="3"/>
    <x v="3"/>
    <s v="脈症治方"/>
    <s v="脈症治方"/>
    <s v="吳正倫"/>
    <x v="5"/>
    <n v="1573"/>
    <m/>
    <s v="https://jicheng.tw/tcm/book/%e8%84%88%e7%97%87%e6%b2%bb%e6%96%b9/index.html"/>
  </r>
  <r>
    <x v="16"/>
    <x v="3"/>
    <x v="3"/>
    <s v="症因脈治"/>
    <s v="症因脈治"/>
    <s v="秦景明"/>
    <x v="5"/>
    <n v="1706"/>
    <m/>
    <s v="https://jicheng.tw/tcm/book/%e7%97%87%e5%9b%a0%e8%84%88%e6%b2%bb/index.html"/>
  </r>
  <r>
    <x v="16"/>
    <x v="3"/>
    <x v="3"/>
    <s v="証治彙補"/>
    <s v="證治彙補"/>
    <s v="李用粹"/>
    <x v="3"/>
    <n v="1687"/>
    <m/>
    <s v="https://jicheng.tw/tcm/book/%e8%ad%89%e6%b2%bb%e5%bd%99%e8%a3%9c/index.html"/>
  </r>
  <r>
    <x v="16"/>
    <x v="3"/>
    <x v="3"/>
    <s v="傅青主男科重編考釈"/>
    <s v="傅青主男科重編考釋"/>
    <s v="王道平"/>
    <x v="3"/>
    <n v="1863"/>
    <m/>
    <s v="https://jicheng.tw/tcm/book/%e5%82%85%e9%9d%92%e4%b8%bb%e7%94%b7%e7%a7%91%e9%87%8d%e7%b7%a8%e8%80%83%e9%87%8b/index.html"/>
  </r>
  <r>
    <x v="16"/>
    <x v="3"/>
    <x v="3"/>
    <s v="金匱鈎玄"/>
    <s v="金匱鉤玄"/>
    <s v="朱震亨"/>
    <x v="4"/>
    <n v="1358"/>
    <m/>
    <s v="https://jicheng.tw/tcm/book/%e9%87%91%e5%8c%b1%e9%89%a4%e7%8e%84/index.html"/>
  </r>
  <r>
    <x v="16"/>
    <x v="3"/>
    <x v="3"/>
    <s v="金匱鈎玄_1"/>
    <s v="金匱鉤玄_1"/>
    <s v="朱震亨"/>
    <x v="4"/>
    <m/>
    <m/>
    <s v="https://jicheng.tw/tcm/book/%e9%87%91%e5%8c%b1%e9%89%a4%e7%8e%84%5f%31/index.html"/>
  </r>
  <r>
    <x v="16"/>
    <x v="3"/>
    <x v="3"/>
    <s v="丹渓心法"/>
    <s v="丹溪心法"/>
    <s v="朱震亨、戴思恭"/>
    <x v="22"/>
    <n v="1481"/>
    <m/>
    <s v="https://jicheng.tw/tcm/book/%e4%b8%b9%e6%ba%aa%e5%bf%83%e6%b3%95/index.html"/>
  </r>
  <r>
    <x v="16"/>
    <x v="3"/>
    <x v="3"/>
    <s v="丹渓心法_1"/>
    <s v="丹溪心法_1"/>
    <s v="朱震亨"/>
    <x v="4"/>
    <m/>
    <m/>
    <s v="https://jicheng.tw/tcm/book/%e4%b8%b9%e6%ba%aa%e5%bf%83%e6%b3%95%5f%31/index.html"/>
  </r>
  <r>
    <x v="16"/>
    <x v="3"/>
    <x v="3"/>
    <s v="丹渓心法附餘"/>
    <s v="丹溪心法附餘"/>
    <s v="方廣"/>
    <x v="5"/>
    <m/>
    <m/>
    <s v="https://jicheng.tw/tcm/book/%e4%b8%b9%e6%ba%aa%e5%bf%83%e6%b3%95%e9%99%84%e9%a4%98/index.html"/>
  </r>
  <r>
    <x v="16"/>
    <x v="3"/>
    <x v="3"/>
    <s v="扁鵲心書"/>
    <s v="扁鵲心書"/>
    <s v="竇材"/>
    <x v="9"/>
    <n v="1146"/>
    <m/>
    <s v="https://jicheng.tw/tcm/book/%e6%89%81%e9%b5%b2%e5%bf%83%e6%9b%b8/index.html"/>
  </r>
  <r>
    <x v="16"/>
    <x v="3"/>
    <x v="3"/>
    <s v="医方集宜"/>
    <s v="醫方集宜"/>
    <s v="丁毅"/>
    <x v="5"/>
    <n v="1554"/>
    <m/>
    <s v="https://jicheng.tw/tcm/book/%e9%86%ab%e6%96%b9%e9%9b%86%e5%ae%9c/index.html"/>
  </r>
  <r>
    <x v="16"/>
    <x v="3"/>
    <x v="3"/>
    <s v="方症会要"/>
    <s v="方症會要"/>
    <s v="吳邁書"/>
    <x v="3"/>
    <n v="1644"/>
    <m/>
    <s v="https://jicheng.tw/tcm/book/%e6%96%b9%e7%97%87%e6%9c%83%e8%a6%81/index.html"/>
  </r>
  <r>
    <x v="16"/>
    <x v="3"/>
    <x v="3"/>
    <s v="医学芻言"/>
    <s v="醫學芻言"/>
    <s v="王泰林"/>
    <x v="3"/>
    <n v="1862"/>
    <m/>
    <s v="https://jicheng.tw/tcm/book/%e9%86%ab%e5%ad%b8%e8%8a%bb%e8%a8%80/index.html"/>
  </r>
  <r>
    <x v="16"/>
    <x v="3"/>
    <x v="3"/>
    <s v="平治会萃"/>
    <s v="平治會萃"/>
    <s v="朱震亨著，薛己校"/>
    <x v="4"/>
    <m/>
    <m/>
    <s v="https://jicheng.tw/tcm/book/%e5%b9%b3%e6%b2%bb%e6%9c%83%e8%90%83/index.html"/>
  </r>
  <r>
    <x v="16"/>
    <x v="3"/>
    <x v="3"/>
    <s v="一見能医"/>
    <s v="一見能醫"/>
    <s v="朱時進"/>
    <x v="3"/>
    <n v="1769"/>
    <m/>
    <s v="https://jicheng.tw/tcm/book/%e4%b8%80%e8%a6%8b%e8%83%bd%e9%86%ab/index.html"/>
  </r>
  <r>
    <x v="16"/>
    <x v="3"/>
    <x v="3"/>
    <s v="考証病源"/>
    <s v="考證病源"/>
    <s v="姚永濟"/>
    <x v="5"/>
    <n v="1573"/>
    <m/>
    <s v="https://jicheng.tw/tcm/book/%e8%80%83%e8%ad%89%e7%97%85%e6%ba%90/index.html"/>
  </r>
  <r>
    <x v="16"/>
    <x v="3"/>
    <x v="3"/>
    <s v="丹渓治法心要"/>
    <s v="丹溪治法心要"/>
    <s v="高叔宗輯校"/>
    <x v="4"/>
    <n v="1543"/>
    <m/>
    <s v="https://jicheng.tw/tcm/book/%e4%b8%b9%e6%ba%aa%e6%b2%bb%e6%b3%95%e5%bf%83%e8%a6%81/index.html"/>
  </r>
  <r>
    <x v="16"/>
    <x v="3"/>
    <x v="3"/>
    <s v="陸地仙経"/>
    <s v="陸地仙經"/>
    <s v="馬齊"/>
    <x v="3"/>
    <n v="1726"/>
    <m/>
    <s v="https://jicheng.tw/tcm/book/%e9%99%b8%e5%9c%b0%e4%bb%99%e7%b6%93/index.html"/>
  </r>
  <r>
    <x v="16"/>
    <x v="3"/>
    <x v="3"/>
    <s v="寿世保元"/>
    <s v="壽世保元"/>
    <s v="龔廷賢"/>
    <x v="5"/>
    <n v="1615"/>
    <m/>
    <s v="https://jicheng.tw/tcm/book/%e5%a3%bd%e4%b8%96%e4%bf%9d%e5%85%83/index.html"/>
  </r>
  <r>
    <x v="16"/>
    <x v="3"/>
    <x v="3"/>
    <s v="薬性歌括_1"/>
    <s v="藥性歌括_1"/>
    <s v="龔廷賢"/>
    <x v="5"/>
    <s v="1577-1644"/>
    <m/>
    <s v="https://jicheng.tw/tcm/book/%e8%97%a5%e6%80%a7%e6%ad%8c%e6%8b%ac%5f%31/index.html"/>
  </r>
  <r>
    <x v="16"/>
    <x v="3"/>
    <x v="3"/>
    <s v="此事難知"/>
    <s v="此事難知"/>
    <s v="王好古"/>
    <x v="4"/>
    <n v="1308"/>
    <m/>
    <s v="https://jicheng.tw/tcm/book/%e6%ad%a4%e4%ba%8b%e9%9b%a3%e7%9f%a5/index.html"/>
  </r>
  <r>
    <x v="16"/>
    <x v="3"/>
    <x v="3"/>
    <s v="此事難知_1"/>
    <s v="此事難知_1"/>
    <s v="李杲"/>
    <x v="6"/>
    <m/>
    <s v="地域 真定（今河北省保定市）"/>
    <s v="https://jicheng.tw/tcm/book/%e6%ad%a4%e4%ba%8b%e9%9b%a3%e7%9f%a5%5f%31/index.html"/>
  </r>
  <r>
    <x v="16"/>
    <x v="3"/>
    <x v="3"/>
    <s v="古今医統大全"/>
    <s v="古今醫統大全"/>
    <s v="徐春甫"/>
    <x v="5"/>
    <n v="1556"/>
    <m/>
    <s v="https://jicheng.tw/tcm/book/%e5%8f%a4%e4%bb%8a%e9%86%ab%e7%b5%b1%e5%a4%a7%e5%85%a8/index.html"/>
  </r>
  <r>
    <x v="16"/>
    <x v="3"/>
    <x v="3"/>
    <s v="松崖医径"/>
    <s v="松崖醫徑"/>
    <s v="程玠"/>
    <x v="5"/>
    <n v="1600"/>
    <m/>
    <s v="https://jicheng.tw/tcm/book/%e6%9d%be%e5%b4%96%e9%86%ab%e5%be%91/index.html"/>
  </r>
  <r>
    <x v="16"/>
    <x v="3"/>
    <x v="3"/>
    <s v="医塁元戎"/>
    <s v="醫壘元戎"/>
    <s v="王好古"/>
    <x v="4"/>
    <n v="1291"/>
    <m/>
    <s v="https://jicheng.tw/tcm/book/%e9%86%ab%e5%a3%98%e5%85%83%e6%88%8e/index.html"/>
  </r>
  <r>
    <x v="16"/>
    <x v="3"/>
    <x v="3"/>
    <s v="斑論萃英"/>
    <s v="斑論萃英"/>
    <s v="王好古"/>
    <x v="4"/>
    <m/>
    <m/>
    <s v="https://jicheng.tw/tcm/book/%e6%96%91%e8%ab%96%e8%90%83%e8%8b%b1/index.html"/>
  </r>
  <r>
    <x v="16"/>
    <x v="3"/>
    <x v="3"/>
    <s v="医門補要"/>
    <s v="醫門補要"/>
    <s v="趙濂"/>
    <x v="3"/>
    <n v="1883"/>
    <m/>
    <s v="https://jicheng.tw/tcm/book/%e9%86%ab%e9%96%80%e8%a3%9c%e8%a6%81/index.html"/>
  </r>
  <r>
    <x v="16"/>
    <x v="3"/>
    <x v="3"/>
    <s v="玉機微義"/>
    <s v="玉機微義"/>
    <s v="徐彥純"/>
    <x v="5"/>
    <n v="1396"/>
    <m/>
    <s v="https://jicheng.tw/tcm/book/%e7%8e%89%e6%a9%9f%e5%be%ae%e7%be%a9/index.html"/>
  </r>
  <r>
    <x v="16"/>
    <x v="3"/>
    <x v="3"/>
    <s v="古今医鑑"/>
    <s v="古今醫鑑"/>
    <s v="龔信"/>
    <x v="5"/>
    <n v="1589"/>
    <m/>
    <s v="https://jicheng.tw/tcm/book/%e5%8f%a4%e4%bb%8a%e9%86%ab%e9%91%91/index.html"/>
  </r>
  <r>
    <x v="16"/>
    <x v="3"/>
    <x v="3"/>
    <s v="古今医鑑（初刊本）"/>
    <s v="古今醫鑑（初刊本）"/>
    <s v="龔信"/>
    <x v="5"/>
    <n v="1576"/>
    <m/>
    <s v="https://jicheng.tw/tcm/book/%E5%8F%A4%E4%BB%8A%E9%86%AB%E9%91%91%EF%BC%88%E5%88%9D%E5%88%8A%E6%9C%AC%EF%BC%89/index.html"/>
  </r>
  <r>
    <x v="16"/>
    <x v="3"/>
    <x v="3"/>
    <s v="万病回春"/>
    <s v="萬病回春"/>
    <s v="龔廷賢"/>
    <x v="5"/>
    <n v="1615"/>
    <m/>
    <s v="https://jicheng.tw/tcm/book/%e8%90%ac%e7%97%85%e5%9b%9e%e6%98%a5/index.html"/>
  </r>
  <r>
    <x v="16"/>
    <x v="3"/>
    <x v="3"/>
    <s v="明医雑著"/>
    <s v="明醫雜著"/>
    <s v="王綸"/>
    <x v="5"/>
    <n v="1502"/>
    <m/>
    <s v="https://jicheng.tw/tcm/book/%e6%98%8e%e9%86%ab%e9%9b%9c%e8%91%97/index.html"/>
  </r>
  <r>
    <x v="16"/>
    <x v="3"/>
    <x v="3"/>
    <s v="医学発明"/>
    <s v="醫學發明"/>
    <s v="李杲"/>
    <x v="6"/>
    <n v="1315"/>
    <m/>
    <s v="https://jicheng.tw/tcm/book/%e9%86%ab%e5%ad%b8%e7%99%bc%e6%98%8e/index.html"/>
  </r>
  <r>
    <x v="16"/>
    <x v="3"/>
    <x v="3"/>
    <s v="丹渓手鏡"/>
    <s v="丹溪手鏡"/>
    <s v="黃濟之"/>
    <x v="5"/>
    <n v="1621"/>
    <m/>
    <s v="https://jicheng.tw/tcm/book/%e4%b8%b9%e6%ba%aa%e6%89%8b%e9%8f%a1/index.html"/>
  </r>
  <r>
    <x v="16"/>
    <x v="3"/>
    <x v="3"/>
    <s v="張氏医通"/>
    <s v="張氏醫通"/>
    <s v="張璐"/>
    <x v="3"/>
    <n v="1695"/>
    <m/>
    <s v="https://jicheng.tw/tcm/book/%e5%bc%b5%e6%b0%8f%e9%86%ab%e9%80%9a/index.html"/>
  </r>
  <r>
    <x v="16"/>
    <x v="3"/>
    <x v="3"/>
    <s v="張氏医通_1"/>
    <s v="張氏醫通_1"/>
    <s v="張璐"/>
    <x v="3"/>
    <m/>
    <m/>
    <s v="https://jicheng.tw/tcm/book/%e5%bc%b5%e6%b0%8f%e9%86%ab%e9%80%9a%5f%31/index.html"/>
  </r>
  <r>
    <x v="16"/>
    <x v="3"/>
    <x v="3"/>
    <s v="丹台玉案"/>
    <s v="丹臺玉案"/>
    <s v="孫文胤"/>
    <x v="5"/>
    <n v="1637"/>
    <m/>
    <s v="https://jicheng.tw/tcm/book/%e4%b8%b9%e8%87%ba%e7%8e%89%e6%a1%88/index.html"/>
  </r>
  <r>
    <x v="16"/>
    <x v="3"/>
    <x v="3"/>
    <s v="医学実在易"/>
    <s v="醫學實在易"/>
    <s v="陳念祖"/>
    <x v="3"/>
    <n v="1809"/>
    <m/>
    <s v="https://jicheng.tw/tcm/book/%e9%86%ab%e5%ad%b8%e5%af%a6%e5%9c%a8%e6%98%93/index.html"/>
  </r>
  <r>
    <x v="16"/>
    <x v="3"/>
    <x v="3"/>
    <s v="古今医徹"/>
    <s v="古今醫徹"/>
    <s v="懷遠"/>
    <x v="3"/>
    <n v="1808"/>
    <m/>
    <s v="https://jicheng.tw/tcm/book/%e5%8f%a4%e4%bb%8a%e9%86%ab%e5%be%b9/index.html"/>
  </r>
  <r>
    <x v="16"/>
    <x v="3"/>
    <x v="3"/>
    <s v="四聖心源"/>
    <s v="四聖心源"/>
    <s v="黃玉璐"/>
    <x v="3"/>
    <n v="1753"/>
    <m/>
    <s v="https://jicheng.tw/tcm/book/%e5%9b%9b%e8%81%96%e5%bf%83%e6%ba%90/index.html"/>
  </r>
  <r>
    <x v="16"/>
    <x v="3"/>
    <x v="3"/>
    <s v="医学心悟"/>
    <s v="醫學心悟"/>
    <s v="程國彭"/>
    <x v="3"/>
    <n v="1732"/>
    <m/>
    <s v="https://jicheng.tw/tcm/book/%e9%86%ab%e5%ad%b8%e5%bf%83%e6%82%9f/index.html"/>
  </r>
  <r>
    <x v="16"/>
    <x v="3"/>
    <x v="3"/>
    <s v="校注医醇賸義"/>
    <s v="校注醫醇賸義"/>
    <s v="費伯雄"/>
    <x v="3"/>
    <n v="1863"/>
    <m/>
    <s v="https://jicheng.tw/tcm/book/%e6%a0%a1%e6%b3%a8%e9%86%ab%e9%86%87%e8%b3%b8%e7%be%a9/index.html"/>
  </r>
  <r>
    <x v="16"/>
    <x v="3"/>
    <x v="3"/>
    <s v="医学指帰"/>
    <s v="醫學指歸"/>
    <s v="趙術堂"/>
    <x v="3"/>
    <n v="1851"/>
    <m/>
    <s v="https://jicheng.tw/tcm/book/%e9%86%ab%e5%ad%b8%e6%8c%87%e6%ad%b8/index.html"/>
  </r>
  <r>
    <x v="16"/>
    <x v="3"/>
    <x v="3"/>
    <s v="医経小学"/>
    <s v="醫經小學"/>
    <s v="劉純"/>
    <x v="5"/>
    <n v="1388"/>
    <m/>
    <s v="https://jicheng.tw/tcm/book/%e9%86%ab%e7%b6%93%e5%b0%8f%e5%ad%b8/index.html"/>
  </r>
  <r>
    <x v="16"/>
    <x v="3"/>
    <x v="3"/>
    <s v="衛生宝鑑"/>
    <s v="衛生寶鑑"/>
    <s v="羅天益"/>
    <x v="4"/>
    <n v="1343"/>
    <m/>
    <s v="https://jicheng.tw/tcm/book/%e8%a1%9b%e7%94%9f%e5%af%b6%e9%91%91/index.html"/>
  </r>
  <r>
    <x v="16"/>
    <x v="3"/>
    <x v="3"/>
    <s v="明医指掌"/>
    <s v="明醫指掌"/>
    <s v="皇甫中"/>
    <x v="5"/>
    <n v="1556"/>
    <m/>
    <s v="https://jicheng.tw/tcm/book/%e6%98%8e%e9%86%ab%e6%8c%87%e6%8e%8c/index.html"/>
  </r>
  <r>
    <x v="16"/>
    <x v="3"/>
    <x v="3"/>
    <s v="軒岐救正論"/>
    <s v="軒岐救正論"/>
    <s v="蕭京"/>
    <x v="5"/>
    <n v="1644"/>
    <m/>
    <s v="https://jicheng.tw/tcm/book/%e8%bb%92%e5%b2%90%e6%95%91%e6%ad%a3%e8%ab%96/index.html"/>
  </r>
  <r>
    <x v="16"/>
    <x v="3"/>
    <x v="3"/>
    <s v="三因極一病証方論"/>
    <s v="三因極一病證方論"/>
    <s v="陳言"/>
    <x v="2"/>
    <n v="1174"/>
    <m/>
    <s v="https://jicheng.tw/tcm/book/%e4%b8%89%e5%9b%a0%e6%a5%b5%e4%b8%80%e7%97%85%e8%ad%89%e6%96%b9%e8%ab%96/index.html"/>
  </r>
  <r>
    <x v="16"/>
    <x v="3"/>
    <x v="3"/>
    <s v="簡明医彀"/>
    <s v="簡明醫彀"/>
    <s v="孫志宏"/>
    <x v="5"/>
    <n v="1629"/>
    <m/>
    <s v="https://jicheng.tw/tcm/book/%e7%b0%a1%e6%98%8e%e9%86%ab%e5%bd%80/index.html"/>
  </r>
  <r>
    <x v="16"/>
    <x v="3"/>
    <x v="3"/>
    <s v="石室秘録"/>
    <s v="石室秘錄"/>
    <s v="陳士鐸"/>
    <x v="3"/>
    <n v="1687"/>
    <m/>
    <s v="https://jicheng.tw/tcm/book/%e7%9f%b3%e5%ae%a4%e7%a7%98%e9%8c%84/index.html"/>
  </r>
  <r>
    <x v="16"/>
    <x v="3"/>
    <x v="3"/>
    <s v="医述"/>
    <s v="醫述"/>
    <s v="程杏軒"/>
    <x v="4"/>
    <n v="1314"/>
    <m/>
    <s v="https://jicheng.tw/tcm/book/%e9%86%ab%e8%bf%b0/index.html"/>
  </r>
  <r>
    <x v="16"/>
    <x v="3"/>
    <x v="3"/>
    <s v="医学三字経"/>
    <s v="醫學三字經"/>
    <s v="陳念祖"/>
    <x v="3"/>
    <n v="1804"/>
    <m/>
    <s v="https://jicheng.tw/tcm/book/%e9%86%ab%e5%ad%b8%e4%b8%89%e5%ad%97%e7%b6%93/index.html"/>
  </r>
  <r>
    <x v="16"/>
    <x v="3"/>
    <x v="3"/>
    <s v="医学真伝"/>
    <s v="醫學真傳"/>
    <s v="高世栻"/>
    <x v="3"/>
    <n v="1699"/>
    <m/>
    <s v="https://jicheng.tw/tcm/book/%e9%86%ab%e5%ad%b8%e7%9c%9f%e5%82%b3/index.html"/>
  </r>
  <r>
    <x v="16"/>
    <x v="3"/>
    <x v="3"/>
    <s v="類証治裁"/>
    <s v="類證治裁"/>
    <s v="林佩琴"/>
    <x v="3"/>
    <n v="1839"/>
    <m/>
    <s v="https://jicheng.tw/tcm/book/%e9%a1%9e%e8%ad%89%e6%b2%bb%e8%a3%81/index.html"/>
  </r>
  <r>
    <x v="16"/>
    <x v="3"/>
    <x v="3"/>
    <s v="類証治裁_1"/>
    <s v="類證治裁_1"/>
    <s v="林佩琴"/>
    <x v="3"/>
    <m/>
    <m/>
    <s v="https://jicheng.tw/tcm/book/%e9%a1%9e%e8%ad%89%e6%b2%bb%e8%a3%81%5f%31/index.html"/>
  </r>
  <r>
    <x v="16"/>
    <x v="3"/>
    <x v="3"/>
    <s v="蘭室秘蔵"/>
    <s v="蘭室秘藏"/>
    <s v="李杲"/>
    <x v="6"/>
    <n v="1276"/>
    <m/>
    <s v="https://jicheng.tw/tcm/book/%e8%98%ad%e5%ae%a4%e7%a7%98%e8%97%8f/index.html"/>
  </r>
  <r>
    <x v="16"/>
    <x v="3"/>
    <x v="3"/>
    <s v="蘭室秘蔵_1"/>
    <s v="蘭室秘藏_1"/>
    <s v="李杲"/>
    <x v="6"/>
    <m/>
    <s v="地域 真定（今河北省保定市）"/>
    <s v="https://jicheng.tw/tcm/book/%e8%98%ad%e5%ae%a4%e7%a7%98%e8%97%8f%5f%31/index.html"/>
  </r>
  <r>
    <x v="16"/>
    <x v="3"/>
    <x v="3"/>
    <s v="医学見能"/>
    <s v="醫學見能"/>
    <s v="唐宗海"/>
    <x v="3"/>
    <n v="1873"/>
    <m/>
    <s v="https://jicheng.tw/tcm/book/%e9%86%ab%e5%ad%b8%e8%a6%8b%e8%83%bd/index.html"/>
  </r>
  <r>
    <x v="16"/>
    <x v="3"/>
    <x v="3"/>
    <s v="儒門事親"/>
    <s v="儒門事親"/>
    <s v="張從正"/>
    <x v="6"/>
    <n v="1228"/>
    <m/>
    <s v="https://jicheng.tw/tcm/book/%e5%84%92%e9%96%80%e4%ba%8b%e8%a6%aa/index.html"/>
  </r>
  <r>
    <x v="16"/>
    <x v="3"/>
    <x v="3"/>
    <s v="儒門事親_1"/>
    <s v="儒門事親_1"/>
    <s v="張從正"/>
    <x v="6"/>
    <m/>
    <s v="地域 睢州考城（今河南蘭考縣）"/>
    <s v="https://jicheng.tw/tcm/book/%e5%84%92%e9%96%80%e4%ba%8b%e8%a6%aa%5f%31/index.html"/>
  </r>
  <r>
    <x v="16"/>
    <x v="3"/>
    <x v="3"/>
    <s v="雑病源流犀燭"/>
    <s v="雜病源流犀燭"/>
    <s v="沈金鰲"/>
    <x v="3"/>
    <n v="1773"/>
    <m/>
    <s v="https://jicheng.tw/tcm/book/%e9%9b%9c%e7%97%85%e6%ba%90%e6%b5%81%e7%8a%80%e7%87%ad/index.html"/>
  </r>
  <r>
    <x v="16"/>
    <x v="3"/>
    <x v="3"/>
    <s v="医医偶録"/>
    <s v="醫醫偶錄"/>
    <s v="陳念祖"/>
    <x v="3"/>
    <n v="1803"/>
    <m/>
    <s v="https://jicheng.tw/tcm/book/%e9%86%ab%e9%86%ab%e5%81%b6%e9%8c%84/index.html"/>
  </r>
  <r>
    <x v="16"/>
    <x v="3"/>
    <x v="3"/>
    <s v="医宗己任編"/>
    <s v="醫宗己任編"/>
    <s v="楊乘六輯，王汝謙補注"/>
    <x v="3"/>
    <n v="1725"/>
    <m/>
    <s v="https://jicheng.tw/tcm/book/%e9%86%ab%e5%ae%97%e5%b7%b1%e4%bb%bb%e7%b7%a8/index.html"/>
  </r>
  <r>
    <x v="16"/>
    <x v="3"/>
    <x v="3"/>
    <s v="秘伝証治要訣及類方"/>
    <s v="秘傳證治要訣及類方"/>
    <s v="戴思恭"/>
    <x v="5"/>
    <n v="1443"/>
    <m/>
    <s v="https://jicheng.tw/tcm/book/%e7%a7%98%e5%82%b3%e8%ad%89%e6%b2%bb%e8%a6%81%e8%a8%a3%e5%8f%8a%e9%a1%9e%e6%96%b9/index.html"/>
  </r>
  <r>
    <x v="16"/>
    <x v="3"/>
    <x v="3"/>
    <s v="医学摘粋"/>
    <s v="醫學摘粹"/>
    <s v="慶恕"/>
    <x v="3"/>
    <n v="1897"/>
    <m/>
    <s v="https://jicheng.tw/tcm/book/%e9%86%ab%e5%ad%b8%e6%91%98%e7%b2%b9/index.html"/>
  </r>
  <r>
    <x v="16"/>
    <x v="3"/>
    <x v="3"/>
    <s v="馮氏錦囊秘録"/>
    <s v="馮氏錦囊秘錄"/>
    <s v="馮楚瞻"/>
    <x v="3"/>
    <n v="1722"/>
    <m/>
    <s v="https://jicheng.tw/tcm/book/%e9%a6%ae%e6%b0%8f%e9%8c%a6%e5%9b%8a%e7%a7%98%e9%8c%84/index.html"/>
  </r>
  <r>
    <x v="16"/>
    <x v="3"/>
    <x v="3"/>
    <s v="医学衷中参西録"/>
    <s v="醫學衷中參西錄"/>
    <s v="張錫純"/>
    <x v="3"/>
    <n v="1909"/>
    <m/>
    <s v="https://jicheng.tw/tcm/book/%e9%86%ab%e5%ad%b8%e8%a1%b7%e4%b8%ad%e5%8f%83%e8%a5%bf%e9%8c%84/index.html"/>
  </r>
  <r>
    <x v="16"/>
    <x v="3"/>
    <x v="3"/>
    <s v="医学入門"/>
    <s v="醫學入門"/>
    <s v="李梃"/>
    <x v="5"/>
    <n v="1575"/>
    <m/>
    <s v="https://jicheng.tw/tcm/book/%e9%86%ab%e5%ad%b8%e5%85%a5%e9%96%80/index.html"/>
  </r>
  <r>
    <x v="16"/>
    <x v="3"/>
    <x v="3"/>
    <s v="景岳全書"/>
    <s v="景岳全書"/>
    <s v="張介賓"/>
    <x v="5"/>
    <n v="1640"/>
    <m/>
    <s v="https://jicheng.tw/tcm/book/%e6%99%af%e5%b2%b3%e5%85%a8%e6%9b%b8/index.html"/>
  </r>
  <r>
    <x v="16"/>
    <x v="3"/>
    <x v="3"/>
    <s v="医学綱目"/>
    <s v="醫學綱目"/>
    <s v="樓英"/>
    <x v="5"/>
    <n v="1565"/>
    <m/>
    <s v="https://jicheng.tw/tcm/book/%e9%86%ab%e5%ad%b8%e7%b6%b1%e7%9b%ae/index.html"/>
  </r>
  <r>
    <x v="16"/>
    <x v="3"/>
    <x v="3"/>
    <s v="羅氏会約医鏡"/>
    <s v="羅氏會約醫鏡"/>
    <s v="羅國綱"/>
    <x v="3"/>
    <n v="1789"/>
    <m/>
    <s v="https://jicheng.tw/tcm/book/%e7%be%85%e6%b0%8f%e6%9c%83%e7%b4%84%e9%86%ab%e9%8f%a1/index.html"/>
  </r>
  <r>
    <x v="16"/>
    <x v="3"/>
    <x v="3"/>
    <s v="顧松園医鏡"/>
    <s v="顧松園醫鏡"/>
    <s v="顧靖遠"/>
    <x v="3"/>
    <n v="1718"/>
    <m/>
    <s v="https://jicheng.tw/tcm/book/%e9%a1%a7%e6%9d%be%e5%9c%92%e9%86%ab%e9%8f%a1/index.html"/>
  </r>
  <r>
    <x v="16"/>
    <x v="3"/>
    <x v="3"/>
    <s v="弁証録"/>
    <s v="辨證錄"/>
    <s v="陳士鐸"/>
    <x v="3"/>
    <n v="1687"/>
    <m/>
    <s v="https://jicheng.tw/tcm/book/%e8%be%a8%e8%ad%89%e9%8c%84/index.html"/>
  </r>
  <r>
    <x v="16"/>
    <x v="3"/>
    <x v="3"/>
    <s v="弁証録_1"/>
    <s v="辨證錄_1"/>
    <s v="陳士鐸"/>
    <x v="3"/>
    <n v="1687"/>
    <m/>
    <s v="https://jicheng.tw/tcm/book/%e8%be%a8%e8%ad%89%e9%8c%84%5f%31/index.html"/>
  </r>
  <r>
    <x v="16"/>
    <x v="3"/>
    <x v="3"/>
    <s v="蒼生司命"/>
    <s v="蒼生司命"/>
    <s v="虞摶"/>
    <x v="5"/>
    <n v="1677"/>
    <m/>
    <s v="https://jicheng.tw/tcm/book/%e8%92%bc%e7%94%9f%e5%8f%b8%e5%91%bd/index.html"/>
  </r>
  <r>
    <x v="16"/>
    <x v="3"/>
    <x v="3"/>
    <s v="刪補頤生微論"/>
    <s v="刪補頤生微論"/>
    <s v="李中梓"/>
    <x v="5"/>
    <n v="1642"/>
    <m/>
    <s v="https://jicheng.tw/tcm/book/%e5%88%aa%e8%a3%9c%e9%a0%a4%e7%94%9f%e5%be%ae%e8%ab%96/index.html"/>
  </r>
  <r>
    <x v="16"/>
    <x v="3"/>
    <x v="3"/>
    <s v="医法円通"/>
    <s v="醫法圓通"/>
    <m/>
    <x v="1"/>
    <m/>
    <m/>
    <s v="https://jicheng.tw/tcm/book/%e9%86%ab%e6%b3%95%e5%9c%93%e9%80%9a/index.html"/>
  </r>
  <r>
    <x v="16"/>
    <x v="3"/>
    <x v="3"/>
    <s v="医宗説約"/>
    <s v="醫宗說約"/>
    <s v="蔣示吉"/>
    <x v="3"/>
    <n v="1663"/>
    <m/>
    <s v="https://jicheng.tw/tcm/book/%e9%86%ab%e5%ae%97%e8%aa%aa%e7%b4%84/index.html"/>
  </r>
  <r>
    <x v="16"/>
    <x v="3"/>
    <x v="3"/>
    <s v="景岳全書発揮"/>
    <s v="景岳全書發揮"/>
    <s v="葉桂"/>
    <x v="3"/>
    <n v="1844"/>
    <m/>
    <s v="https://jicheng.tw/tcm/book/%e6%99%af%e5%b2%b3%e5%85%a8%e6%9b%b8%e7%99%bc%e6%8f%ae/index.html"/>
  </r>
  <r>
    <x v="16"/>
    <x v="3"/>
    <x v="3"/>
    <s v="医宗必読"/>
    <s v="醫宗必讀"/>
    <s v="李中梓"/>
    <x v="5"/>
    <n v="1637"/>
    <m/>
    <s v="https://jicheng.tw/tcm/book/%e9%86%ab%e5%ae%97%e5%bf%85%e8%ae%80/index.html"/>
  </r>
  <r>
    <x v="16"/>
    <x v="3"/>
    <x v="3"/>
    <s v="雲林神彀"/>
    <s v="雲林神彀"/>
    <s v="龔廷賢"/>
    <x v="5"/>
    <n v="1591"/>
    <m/>
    <s v="https://jicheng.tw/tcm/book/%e9%9b%b2%e6%9e%97%e7%a5%9e%e5%bd%80/index.html"/>
  </r>
  <r>
    <x v="16"/>
    <x v="3"/>
    <x v="3"/>
    <s v="済世全書"/>
    <s v="濟世全書"/>
    <s v="龔廷賢"/>
    <x v="5"/>
    <n v="1616"/>
    <m/>
    <s v="https://jicheng.tw/tcm/book/%e6%bf%9f%e4%b8%96%e5%85%a8%e6%9b%b8/index.html"/>
  </r>
  <r>
    <x v="16"/>
    <x v="3"/>
    <x v="3"/>
    <s v="蘭台軌範"/>
    <s v="蘭臺軌範"/>
    <s v="徐大椿"/>
    <x v="3"/>
    <n v="1764"/>
    <m/>
    <s v="https://jicheng.tw/tcm/book/%e8%98%ad%e8%87%ba%e8%bb%8c%e7%af%84/index.html"/>
  </r>
  <r>
    <x v="16"/>
    <x v="3"/>
    <x v="3"/>
    <s v="赤水玄珠"/>
    <s v="赤水玄珠"/>
    <s v="孫一奎"/>
    <x v="5"/>
    <n v="1584"/>
    <m/>
    <s v="https://jicheng.tw/tcm/book/%e8%b5%a4%e6%b0%b4%e7%8e%84%e7%8f%a0/index.html"/>
  </r>
  <r>
    <x v="16"/>
    <x v="3"/>
    <x v="3"/>
    <s v="備急千金要方"/>
    <s v="備急千金要方"/>
    <s v="孫思邈"/>
    <x v="7"/>
    <n v="652"/>
    <m/>
    <s v="https://jicheng.tw/tcm/book/%e5%82%99%e6%80%a5%e5%8d%83%e9%87%91%e8%a6%81%e6%96%b9/index.html"/>
  </r>
  <r>
    <x v="16"/>
    <x v="3"/>
    <x v="3"/>
    <s v="備急千金要方_1"/>
    <s v="備急千金要方_1"/>
    <s v="孫思邈"/>
    <x v="7"/>
    <m/>
    <m/>
    <s v="https://jicheng.tw/tcm/book/%e5%82%99%e6%80%a5%e5%8d%83%e9%87%91%e8%a6%81%e6%96%b9%5f%31/index.html"/>
  </r>
  <r>
    <x v="16"/>
    <x v="3"/>
    <x v="3"/>
    <s v="大医精誠_1"/>
    <s v="大醫精誠_1"/>
    <s v="孫思邈"/>
    <x v="7"/>
    <m/>
    <m/>
    <s v="https://jicheng.tw/tcm/book/%e5%a4%a7%e9%86%ab%e7%b2%be%e8%aa%a0%5f%31/index.html"/>
  </r>
  <r>
    <x v="16"/>
    <x v="3"/>
    <x v="3"/>
    <s v="千金翼方"/>
    <s v="千金翼方"/>
    <s v="孫思邈"/>
    <x v="7"/>
    <n v="682"/>
    <m/>
    <s v="https://jicheng.tw/tcm/book/%e5%8d%83%e9%87%91%e7%bf%bc%e6%96%b9/index.html"/>
  </r>
  <r>
    <x v="16"/>
    <x v="3"/>
    <x v="3"/>
    <s v="千金翼方_1"/>
    <s v="千金翼方_1"/>
    <s v="孫思邈"/>
    <x v="7"/>
    <m/>
    <m/>
    <s v="https://jicheng.tw/tcm/book/%e5%8d%83%e9%87%91%e7%bf%bc%e6%96%b9%5f%31/index.html"/>
  </r>
  <r>
    <x v="16"/>
    <x v="3"/>
    <x v="3"/>
    <s v="外台秘要"/>
    <s v="外臺秘要"/>
    <s v="王燾"/>
    <x v="7"/>
    <n v="752"/>
    <m/>
    <s v="https://jicheng.tw/tcm/book/%e5%a4%96%e8%87%ba%e7%a7%98%e8%a6%81/index.html"/>
  </r>
  <r>
    <x v="16"/>
    <x v="3"/>
    <x v="3"/>
    <s v="外台秘要_1"/>
    <s v="外臺秘要_1"/>
    <s v="王燾"/>
    <x v="7"/>
    <m/>
    <m/>
    <s v="https://jicheng.tw/tcm/book/%e5%a4%96%e8%87%ba%e7%a7%98%e8%a6%81%5f%31/index.html"/>
  </r>
  <r>
    <x v="16"/>
    <x v="3"/>
    <x v="3"/>
    <s v="医心方"/>
    <s v="醫心方"/>
    <s v="丹波康賴"/>
    <x v="2"/>
    <n v="984"/>
    <m/>
    <s v="https://jicheng.tw/tcm/book/%e9%86%ab%e5%bf%83%e6%96%b9/index.html"/>
  </r>
  <r>
    <x v="16"/>
    <x v="3"/>
    <x v="3"/>
    <s v="鱠残篇"/>
    <s v="鱠殘篇"/>
    <s v="沈懋發"/>
    <x v="3"/>
    <n v="1777"/>
    <m/>
    <s v="https://jicheng.tw/tcm/book/%e9%b1%a0%e6%ae%98%e7%af%87/index.html"/>
  </r>
  <r>
    <x v="16"/>
    <x v="3"/>
    <x v="3"/>
    <s v="長沙証彙"/>
    <s v="長沙證彙"/>
    <s v="田中榮信"/>
    <x v="3"/>
    <m/>
    <m/>
    <s v="https://jicheng.tw/tcm/book/%e9%95%b7%e6%b2%99%e8%ad%89%e5%bd%99/index.html"/>
  </r>
  <r>
    <x v="16"/>
    <x v="3"/>
    <x v="3"/>
    <s v="医学三信編"/>
    <s v="醫學三信編"/>
    <s v="毛世洪"/>
    <x v="3"/>
    <n v="1795"/>
    <m/>
    <s v="https://jicheng.tw/tcm/book/%e9%86%ab%e5%ad%b8%e4%b8%89%e4%bf%a1%e7%b7%a8/index.html"/>
  </r>
  <r>
    <x v="16"/>
    <x v="3"/>
    <x v="3"/>
    <s v="医学研悅"/>
    <s v="醫學研悅"/>
    <s v="李盛春"/>
    <x v="5"/>
    <n v="1623"/>
    <m/>
    <s v="https://jicheng.tw/tcm/book/%e9%86%ab%e5%ad%b8%e7%a0%94%e6%82%85/index.html"/>
  </r>
  <r>
    <x v="16"/>
    <x v="3"/>
    <x v="3"/>
    <s v="医中一得"/>
    <s v="醫中一得"/>
    <s v="清·梁溪七世家醫雅亭氏顧爾元拜撰"/>
    <x v="3"/>
    <n v="1863"/>
    <m/>
    <s v="https://jicheng.tw/tcm/book/%e9%86%ab%e4%b8%ad%e4%b8%80%e5%be%97/index.html"/>
  </r>
  <r>
    <x v="16"/>
    <x v="3"/>
    <x v="3"/>
    <s v="医学集成"/>
    <s v="醫學集成"/>
    <s v="駱世馨"/>
    <x v="3"/>
    <n v="1873"/>
    <m/>
    <s v="https://jicheng.tw/tcm/book/%e9%86%ab%e5%ad%b8%e9%9b%86%e6%88%90/index.html"/>
  </r>
  <r>
    <x v="16"/>
    <x v="3"/>
    <x v="3"/>
    <s v="医学体用"/>
    <s v="醫學體用"/>
    <s v="盧雲乘"/>
    <x v="3"/>
    <n v="1722"/>
    <m/>
    <s v="https://jicheng.tw/tcm/book/%e9%86%ab%e5%ad%b8%e9%ab%94%e7%94%a8/index.html"/>
  </r>
  <r>
    <x v="16"/>
    <x v="3"/>
    <x v="3"/>
    <s v="医学説約"/>
    <s v="醫學說約"/>
    <m/>
    <x v="1"/>
    <m/>
    <m/>
    <s v="https://jicheng.tw/tcm/book/%e9%86%ab%e5%ad%b8%e8%aa%aa%e7%b4%84/index.html"/>
  </r>
  <r>
    <x v="16"/>
    <x v="3"/>
    <x v="3"/>
    <s v="医学輯要"/>
    <s v="醫學輯要"/>
    <s v="吳燡"/>
    <x v="3"/>
    <n v="1854"/>
    <m/>
    <s v="https://jicheng.tw/tcm/book/%e9%86%ab%e5%ad%b8%e8%bc%af%e8%a6%81/index.html"/>
  </r>
  <r>
    <x v="16"/>
    <x v="3"/>
    <x v="3"/>
    <s v="医易一理"/>
    <s v="醫易一理"/>
    <m/>
    <x v="1"/>
    <m/>
    <m/>
    <s v="https://jicheng.tw/tcm/book/%e9%86%ab%e6%98%93%e4%b8%80%e7%90%86/index.html"/>
  </r>
  <r>
    <x v="16"/>
    <x v="3"/>
    <x v="3"/>
    <s v="医津一筏"/>
    <s v="醫津一筏"/>
    <s v="歙縣江之蘭（含徵）著，和縣高思潛考，正吳縣張炳翔（叔鵬）校錄"/>
    <x v="3"/>
    <s v="民國14"/>
    <m/>
    <s v="https://jicheng.tw/tcm/book/%e9%86%ab%e6%b4%a5%e4%b8%80%e7%ad%8f/index.html"/>
  </r>
  <r>
    <x v="16"/>
    <x v="3"/>
    <x v="3"/>
    <s v="医病簡要"/>
    <s v="醫病簡要"/>
    <m/>
    <x v="1"/>
    <m/>
    <m/>
    <s v="https://jicheng.tw/tcm/book/%e9%86%ab%e7%97%85%e7%b0%a1%e8%a6%81/index.html"/>
  </r>
  <r>
    <x v="16"/>
    <x v="3"/>
    <x v="3"/>
    <s v="医経秘旨"/>
    <s v="醫經秘旨"/>
    <s v="原題盛寅"/>
    <x v="1"/>
    <n v="1383"/>
    <m/>
    <s v="https://jicheng.tw/tcm/book/%e9%86%ab%e7%b6%93%e7%a7%98%e6%97%a8/index.html"/>
  </r>
  <r>
    <x v="16"/>
    <x v="3"/>
    <x v="3"/>
    <s v="村居救急方"/>
    <s v="村居救急方"/>
    <s v="魏祖清"/>
    <x v="3"/>
    <n v="1730"/>
    <m/>
    <s v="https://jicheng.tw/tcm/book/%e6%9d%91%e5%b1%85%e6%95%91%e6%80%a5%e6%96%b9/index.html"/>
  </r>
  <r>
    <x v="16"/>
    <x v="3"/>
    <x v="3"/>
    <s v="敺蠱燃犀録"/>
    <s v="敺蠱燃犀錄"/>
    <s v="燃犀道人"/>
    <x v="3"/>
    <n v="1893"/>
    <m/>
    <s v="https://jicheng.tw/tcm/book/%e6%95%ba%e8%a0%b1%e7%87%83%e7%8a%80%e9%8c%84/index.html"/>
  </r>
  <r>
    <x v="16"/>
    <x v="3"/>
    <x v="3"/>
    <s v="類証普済本事方続集"/>
    <s v="類證普濟本事方續集"/>
    <s v="許叔微"/>
    <x v="2"/>
    <m/>
    <m/>
    <s v="https://jicheng.tw/tcm/book/%e9%a1%9e%e8%ad%89%e6%99%ae%e6%bf%9f%e6%9c%ac%e4%ba%8b%e6%96%b9%e7%ba%8c%e9%9b%86/index.html"/>
  </r>
  <r>
    <x v="16"/>
    <x v="3"/>
    <x v="3"/>
    <s v="沈氏尊生書"/>
    <s v="沈氏尊生書"/>
    <s v="沈金鰲"/>
    <x v="3"/>
    <n v="1773"/>
    <m/>
    <s v="https://jicheng.tw/tcm/book/%e6%b2%88%e6%b0%8f%e5%b0%8a%e7%94%9f%e6%9b%b8/index.html"/>
  </r>
  <r>
    <x v="16"/>
    <x v="3"/>
    <x v="3"/>
    <s v="経歴雑論"/>
    <s v="經歷雜論"/>
    <s v="劉恆瑞"/>
    <x v="3"/>
    <m/>
    <m/>
    <s v="https://jicheng.tw/tcm/book/%e7%b6%93%e6%ad%b7%e9%9b%9c%e8%ab%96/index.html"/>
  </r>
  <r>
    <x v="16"/>
    <x v="3"/>
    <x v="3"/>
    <s v="過庭録存"/>
    <s v="過庭錄存"/>
    <s v="曹存心"/>
    <x v="3"/>
    <n v="1859"/>
    <m/>
    <s v="https://jicheng.tw/tcm/book/%e9%81%8e%e5%ba%ad%e9%8c%84%e5%ad%98/index.html"/>
  </r>
  <r>
    <x v="16"/>
    <x v="3"/>
    <x v="3"/>
    <s v="中風斠詮"/>
    <s v="中風斠詮"/>
    <s v="張壽頤"/>
    <x v="11"/>
    <n v="1917"/>
    <m/>
    <s v="https://jicheng.tw/tcm/book/%e4%b8%ad%e9%a2%a8%e6%96%a0%e8%a9%ae/index.html"/>
  </r>
  <r>
    <x v="16"/>
    <x v="3"/>
    <x v="3"/>
    <s v="医学心悟雑症要義"/>
    <s v="醫學心悟雜症要義"/>
    <s v="程國齡"/>
    <x v="3"/>
    <m/>
    <m/>
    <s v="https://jicheng.tw/tcm/book/%e9%86%ab%e5%ad%b8%e5%bf%83%e6%82%9f%e9%9b%9c%e7%97%87%e8%a6%81%e7%be%a9/index.html"/>
  </r>
  <r>
    <x v="16"/>
    <x v="3"/>
    <x v="3"/>
    <s v="家用良方"/>
    <s v="家用良方"/>
    <s v="龔自璋"/>
    <x v="3"/>
    <n v="1851"/>
    <m/>
    <s v="https://jicheng.tw/tcm/book/%e5%ae%b6%e7%94%a8%e8%89%af%e6%96%b9/index.html"/>
  </r>
  <r>
    <x v="16"/>
    <x v="3"/>
    <x v="3"/>
    <s v="医経国小　×　→　医経小学のこと"/>
    <s v="醫經國小"/>
    <m/>
    <x v="1"/>
    <m/>
    <m/>
    <s v="https://jicheng.tw/tcm/book/%e9%86%ab%e7%b6%93%e5%9c%8b%e5%b0%8f/index.html"/>
  </r>
  <r>
    <x v="16"/>
    <x v="3"/>
    <x v="3"/>
    <s v="円運動的古中医学"/>
    <s v="圓運動的古中醫學"/>
    <s v="彭子益"/>
    <x v="11"/>
    <n v="1947"/>
    <m/>
    <s v="https://jicheng.tw/tcm/book/%e5%9c%93%e9%81%8b%e5%8b%95%e7%9a%84%e5%8f%a4%e4%b8%ad%e9%86%ab%e5%ad%b8/index.html"/>
  </r>
  <r>
    <x v="16"/>
    <x v="3"/>
    <x v="3"/>
    <s v="簡明中西匯参医学図説"/>
    <s v="簡明中西匯參醫學圖說"/>
    <s v="王有忠"/>
    <x v="3"/>
    <n v="1906"/>
    <m/>
    <s v="https://jicheng.tw/tcm/book/%e7%b0%a1%e6%98%8e%e4%b8%ad%e8%a5%bf%e5%8c%af%e5%8f%83%e9%86%ab%e5%ad%b8%e5%9c%96%e8%aa%aa/index.html"/>
  </r>
  <r>
    <x v="16"/>
    <x v="3"/>
    <x v="3"/>
    <s v="臓腑証治図説人鏡経"/>
    <s v="臟腑證治圖說人鏡經"/>
    <s v="作者不詳，錢雷增補"/>
    <x v="3"/>
    <n v="1606"/>
    <m/>
    <s v="https://jicheng.tw/tcm/book/%e8%87%9f%e8%85%91%e8%ad%89%e6%b2%bb%e5%9c%96%e8%aa%aa%e4%ba%ba%e9%8f%a1%e7%b6%93/index.html"/>
  </r>
  <r>
    <x v="16"/>
    <x v="3"/>
    <x v="3"/>
    <s v="玄門脈訣内照図"/>
    <s v="玄門脈訣內照圖"/>
    <s v="舊題華佗著，汪琥序"/>
    <x v="3"/>
    <n v="1668"/>
    <m/>
    <s v="https://jicheng.tw/tcm/book/%e7%8e%84%e9%96%80%e8%84%88%e8%a8%a3%e5%85%a7%e7%85%a7%e5%9c%96/index.html"/>
  </r>
  <r>
    <x v="16"/>
    <x v="3"/>
    <x v="3"/>
    <s v="東垣試効方"/>
    <s v="東垣試效方"/>
    <s v="李杲"/>
    <x v="6"/>
    <n v="1266"/>
    <s v="多紀元昕手校本（国立公文書館掃描本）"/>
    <s v="https://jicheng.tw/tcm/book/%e6%9d%b1%e5%9e%a3%e8%a9%a6%e6%95%88%e6%96%b9/index.html"/>
  </r>
  <r>
    <x v="16"/>
    <x v="3"/>
    <x v="3"/>
    <s v="医経会解"/>
    <s v="醫經會解"/>
    <s v="鄧景儀"/>
    <x v="5"/>
    <n v="1633"/>
    <m/>
    <s v="https://jicheng.tw/tcm/book/%e9%86%ab%e7%b6%93%e6%9c%83%e8%a7%a3/index.html"/>
  </r>
  <r>
    <x v="16"/>
    <x v="3"/>
    <x v="3"/>
    <s v="医経大旨"/>
    <s v="醫經大旨"/>
    <s v="賀岳"/>
    <x v="5"/>
    <n v="1556"/>
    <m/>
    <s v="https://jicheng.tw/tcm/book/%e9%86%ab%e7%b6%93%e5%a4%a7%e6%97%a8/index.html"/>
  </r>
  <r>
    <x v="16"/>
    <x v="3"/>
    <x v="3"/>
    <s v="医師秘笈"/>
    <s v="醫師秘笈"/>
    <s v="李言恭"/>
    <x v="3"/>
    <n v="1736"/>
    <m/>
    <s v="https://jicheng.tw/tcm/book/%e9%86%ab%e5%b8%ab%e7%a7%98%e7%ac%88/index.html"/>
  </r>
  <r>
    <x v="16"/>
    <x v="3"/>
    <x v="3"/>
    <s v="医学要則"/>
    <s v="醫學要則"/>
    <s v="沈懋言"/>
    <x v="3"/>
    <n v="1743"/>
    <m/>
    <s v="https://jicheng.tw/tcm/book/%e9%86%ab%e5%ad%b8%e8%a6%81%e5%89%87/index.html"/>
  </r>
  <r>
    <x v="16"/>
    <x v="3"/>
    <x v="3"/>
    <s v="新刻華佗内照図"/>
    <s v="新刻華佗內照圖"/>
    <s v="華佗撰，胡文煥校正"/>
    <x v="5"/>
    <m/>
    <m/>
    <s v="https://jicheng.tw/tcm/book/%e6%96%b0%e5%88%bb%e8%8f%af%e4%bd%97%e5%85%a7%e7%85%a7%e5%9c%96/index.html"/>
  </r>
  <r>
    <x v="16"/>
    <x v="3"/>
    <x v="3"/>
    <s v="新刊医学集成"/>
    <s v="新刊醫學集成"/>
    <s v="傅滋"/>
    <x v="5"/>
    <m/>
    <m/>
    <s v="https://jicheng.tw/tcm/book/%e6%96%b0%e5%88%8a%e9%86%ab%e5%ad%b8%e9%9b%86%e6%88%90/index.html"/>
  </r>
  <r>
    <x v="16"/>
    <x v="3"/>
    <x v="3"/>
    <s v="奇効医述"/>
    <s v="奇效醫述"/>
    <s v="聶尚恆"/>
    <x v="5"/>
    <m/>
    <m/>
    <s v="https://jicheng.tw/tcm/book/%e5%a5%87%e6%95%88%e9%86%ab%e8%bf%b0/index.html"/>
  </r>
  <r>
    <x v="17"/>
    <x v="3"/>
    <x v="3"/>
    <s v="医学啓源"/>
    <s v="醫學啟源"/>
    <s v="張元素"/>
    <x v="6"/>
    <n v="1186"/>
    <m/>
    <s v="https://jicheng.tw/tcm/book/%e9%86%ab%e5%ad%b8%e5%95%9f%e6%ba%90/index.html"/>
  </r>
  <r>
    <x v="17"/>
    <x v="3"/>
    <x v="3"/>
    <s v="古今名医彙粋"/>
    <s v="古今名醫彙粹"/>
    <s v="羅美"/>
    <x v="3"/>
    <n v="1675"/>
    <m/>
    <s v="https://jicheng.tw/tcm/book/%e5%8f%a4%e4%bb%8a%e5%90%8d%e9%86%ab%e5%bd%99%e7%b2%b9/index.html"/>
  </r>
  <r>
    <x v="17"/>
    <x v="3"/>
    <x v="3"/>
    <s v="中国医籍考"/>
    <s v="中國醫籍考"/>
    <s v="丹波元胤"/>
    <x v="1"/>
    <n v="1831"/>
    <m/>
    <s v="https://jicheng.tw/tcm/book/%e4%b8%ad%e5%9c%8b%e9%86%ab%e7%b1%8d%e8%80%83/index.html"/>
  </r>
  <r>
    <x v="17"/>
    <x v="3"/>
    <x v="3"/>
    <s v="医事啓源"/>
    <s v="醫事啟源"/>
    <s v="今樹亮"/>
    <x v="1"/>
    <m/>
    <m/>
    <s v="https://jicheng.tw/tcm/book/%e9%86%ab%e4%ba%8b%e5%95%9f%e6%ba%90/index.html"/>
  </r>
  <r>
    <x v="17"/>
    <x v="3"/>
    <x v="3"/>
    <s v="中国医学源流論"/>
    <s v="中國醫學源流論"/>
    <s v="謝觀"/>
    <x v="11"/>
    <n v="1935"/>
    <m/>
    <s v="https://jicheng.tw/tcm/book/%e4%b8%ad%e5%9c%8b%e9%86%ab%e5%ad%b8%e6%ba%90%e6%b5%81%e8%ab%96/index.html"/>
  </r>
  <r>
    <x v="17"/>
    <x v="3"/>
    <x v="3"/>
    <s v="皇国名医伝"/>
    <s v="皇國名醫傳"/>
    <s v="淺田惟常"/>
    <x v="1"/>
    <m/>
    <m/>
    <s v="https://jicheng.tw/tcm/book/%e7%9a%87%e5%9c%8b%e5%90%8d%e9%86%ab%e5%82%b3/index.html"/>
  </r>
  <r>
    <x v="18"/>
    <x v="3"/>
    <x v="3"/>
    <s v="易経"/>
    <s v="易經"/>
    <s v="約西周"/>
    <x v="1"/>
    <m/>
    <m/>
    <s v="https://jicheng.tw/tcm/book/%e6%98%93%e7%b6%93/index.html"/>
  </r>
  <r>
    <x v="18"/>
    <x v="3"/>
    <x v="3"/>
    <s v="洗冤集録"/>
    <s v="洗冤集錄"/>
    <s v="宋慈"/>
    <x v="2"/>
    <n v="1247"/>
    <m/>
    <s v="https://jicheng.tw/tcm/book/%e6%b4%97%e5%86%a4%e9%9b%86%e9%8c%84/index.html"/>
  </r>
  <r>
    <x v="18"/>
    <x v="3"/>
    <x v="3"/>
    <s v="太医局諸科程文格"/>
    <s v="太醫局諸科程文格"/>
    <s v="何大任序"/>
    <x v="2"/>
    <m/>
    <m/>
    <s v="https://jicheng.tw/tcm/book/%e5%a4%aa%e9%86%ab%e5%b1%80%e8%ab%b8%e7%a7%91%e7%a8%8b%e6%96%87%e6%a0%bc/index.html"/>
  </r>
  <r>
    <x v="19"/>
    <x v="31"/>
    <x v="3"/>
    <s v="普済方"/>
    <s v="普濟方"/>
    <s v="朱橚"/>
    <x v="5"/>
    <n v="1406"/>
    <m/>
    <s v="https://jicheng.tw/tcm/book/%E6%99%AE%E6%BF%9F%E6%96%B9/%E6%99%AE%E6%BF%9F%E6%96%B9/index.html"/>
  </r>
  <r>
    <x v="19"/>
    <x v="31"/>
    <x v="3"/>
    <s v="普済方·嬰孩門"/>
    <s v="普濟方·嬰孩門"/>
    <s v="朱橚"/>
    <x v="5"/>
    <n v="1406"/>
    <m/>
    <s v="https://jicheng.tw/tcm/book/%e6%99%ae%e6%bf%9f%e6%96%b9/%e5%ac%b0%e5%ad%a9%e9%96%80/index.html"/>
  </r>
  <r>
    <x v="19"/>
    <x v="31"/>
    <x v="3"/>
    <s v="普済方·鍼灸門"/>
    <s v="普濟方·針灸門"/>
    <s v="朱橚"/>
    <x v="5"/>
    <n v="1406"/>
    <m/>
    <s v="https://jicheng.tw/tcm/book/%e6%99%ae%e6%bf%9f%e6%96%b9/%e9%87%9d%e7%81%b8%e9%96%80/index.html"/>
  </r>
  <r>
    <x v="19"/>
    <x v="32"/>
    <x v="3"/>
    <s v="内科摘要"/>
    <s v="內科摘要"/>
    <s v="薛己"/>
    <x v="5"/>
    <s v="1519-1559"/>
    <m/>
    <s v="https://jicheng.tw/tcm/book/%e5%85%a7%e7%a7%91%e6%91%98%e8%a6%81/index.html"/>
  </r>
  <r>
    <x v="19"/>
    <x v="32"/>
    <x v="3"/>
    <s v="女科撮要"/>
    <s v="女科撮要"/>
    <s v="薛己"/>
    <x v="5"/>
    <n v="1548"/>
    <m/>
    <s v="https://jicheng.tw/tcm/book/%e5%a5%b3%e7%a7%91%e6%92%ae%e8%a6%81/index.html"/>
  </r>
  <r>
    <x v="19"/>
    <x v="32"/>
    <x v="3"/>
    <s v="保嬰粋要"/>
    <s v="保嬰粹要"/>
    <s v="薛己"/>
    <x v="5"/>
    <n v="1529"/>
    <m/>
    <s v="https://jicheng.tw/tcm/book/%e4%bf%9d%e5%ac%b0%e7%b2%b9%e8%a6%81/index.html"/>
  </r>
  <r>
    <x v="19"/>
    <x v="32"/>
    <x v="3"/>
    <s v="保嬰金鏡録"/>
    <s v="保嬰金鏡錄"/>
    <s v="薛己"/>
    <x v="5"/>
    <n v="1555"/>
    <m/>
    <s v="https://jicheng.tw/tcm/book/%e4%bf%9d%e5%ac%b0%e9%87%91%e9%8f%a1%e9%8c%84/index.html"/>
  </r>
  <r>
    <x v="19"/>
    <x v="32"/>
    <x v="3"/>
    <s v="原機啓微"/>
    <s v="原機啟微"/>
    <s v="倪維德"/>
    <x v="4"/>
    <n v="1370"/>
    <m/>
    <s v="https://jicheng.tw/tcm/book/%e5%8e%9f%e6%a9%9f%e5%95%9f%e5%be%ae/index.html"/>
  </r>
  <r>
    <x v="19"/>
    <x v="32"/>
    <x v="3"/>
    <s v="口歯類要"/>
    <s v="口齒類要"/>
    <s v="薛己"/>
    <x v="5"/>
    <n v="1528"/>
    <m/>
    <s v="https://jicheng.tw/tcm/book/%e5%8f%a3%e9%bd%92%e9%a1%9e%e8%a6%81/index.html"/>
  </r>
  <r>
    <x v="19"/>
    <x v="32"/>
    <x v="3"/>
    <s v="正体類要"/>
    <s v="正體類要"/>
    <s v="薛己"/>
    <x v="5"/>
    <n v="1529"/>
    <m/>
    <s v="https://jicheng.tw/tcm/book/%e6%ad%a3%e9%ab%94%e9%a1%9e%e8%a6%81/index.html"/>
  </r>
  <r>
    <x v="19"/>
    <x v="32"/>
    <x v="3"/>
    <s v="外科枢要"/>
    <s v="外科樞要"/>
    <s v="薛己"/>
    <x v="5"/>
    <n v="1545"/>
    <m/>
    <s v="https://jicheng.tw/tcm/book/%e5%a4%96%e7%a7%91%e6%a8%9e%e8%a6%81/index.html"/>
  </r>
  <r>
    <x v="19"/>
    <x v="32"/>
    <x v="3"/>
    <s v="癘瘍機要"/>
    <s v="癘瘍機要"/>
    <s v="薛己"/>
    <x v="5"/>
    <n v="1554"/>
    <m/>
    <s v="https://jicheng.tw/tcm/book/%e7%99%98%e7%98%8d%e6%a9%9f%e8%a6%81/index.html"/>
  </r>
  <r>
    <x v="19"/>
    <x v="32"/>
    <x v="3"/>
    <s v="明医雑著"/>
    <s v="明醫雜著"/>
    <s v="王綸"/>
    <x v="5"/>
    <n v="1502"/>
    <m/>
    <s v="https://jicheng.tw/tcm/book/%e6%98%8e%e9%86%ab%e9%9b%9c%e8%91%97/index.html"/>
  </r>
  <r>
    <x v="19"/>
    <x v="32"/>
    <x v="3"/>
    <s v="婦人良方"/>
    <s v="婦人良方"/>
    <s v="薛己"/>
    <x v="5"/>
    <n v="1237"/>
    <m/>
    <s v="https://jicheng.tw/tcm/book/%E6%A0%A1%E8%A8%BB%E5%A9%A6%E4%BA%BA%E8%89%AF%E6%96%B9/index.html"/>
  </r>
  <r>
    <x v="19"/>
    <x v="32"/>
    <x v="3"/>
    <s v="敖氏傷寒金鏡録"/>
    <s v="敖氏傷寒金鏡錄"/>
    <s v="杜本"/>
    <x v="4"/>
    <n v="1341"/>
    <m/>
    <s v="https://jicheng.tw/tcm/book/%e6%95%96%e6%b0%8f%e5%82%b7%e5%af%92%e9%87%91%e9%8f%a1%e9%8c%84/index.html"/>
  </r>
  <r>
    <x v="19"/>
    <x v="32"/>
    <x v="3"/>
    <s v="銭氏小児直訣"/>
    <s v="錢氏小兒直訣"/>
    <s v="錢乙"/>
    <x v="2"/>
    <m/>
    <m/>
    <s v="https://jicheng.tw/tcm/book/%e9%8c%a2%e6%b0%8f%e5%b0%8f%e5%85%92%e7%9b%b4%e8%a8%a3/index.html"/>
  </r>
  <r>
    <x v="19"/>
    <x v="32"/>
    <x v="3"/>
    <s v="保嬰撮要"/>
    <s v="保嬰撮要"/>
    <s v="薛鎧"/>
    <x v="5"/>
    <n v="1555"/>
    <m/>
    <s v="https://jicheng.tw/tcm/book/%e4%bf%9d%e5%ac%b0%e6%92%ae%e8%a6%81/index.html"/>
  </r>
  <r>
    <x v="19"/>
    <x v="32"/>
    <x v="3"/>
    <s v="外科精要"/>
    <s v="外科精要"/>
    <s v="陳自明"/>
    <x v="2"/>
    <n v="1263"/>
    <m/>
    <s v="https://jicheng.tw/tcm/book/%e5%a4%96%e7%a7%91%e7%b2%be%e8%a6%81/index.html"/>
  </r>
  <r>
    <x v="19"/>
    <x v="32"/>
    <x v="3"/>
    <s v="小児痘疹方論"/>
    <s v="小兒痘疹方論"/>
    <s v="陳文中"/>
    <x v="9"/>
    <n v="1253"/>
    <m/>
    <s v="https://jicheng.tw/tcm/book/%e5%b0%8f%e5%85%92%e7%97%98%e7%96%b9%e6%96%b9%e8%ab%96/index.html"/>
  </r>
  <r>
    <x v="19"/>
    <x v="33"/>
    <x v="3"/>
    <s v="証治準縄·雑病"/>
    <s v="證治準繩·雜病"/>
    <s v="王肯堂"/>
    <x v="5"/>
    <n v="1602"/>
    <m/>
    <s v="https://jicheng.tw/tcm/book/%e8%ad%89%e6%b2%bb%e6%ba%96%e7%b9%a9/%e9%9b%9c%e7%97%85/index.html"/>
  </r>
  <r>
    <x v="19"/>
    <x v="33"/>
    <x v="3"/>
    <s v="証治準縄·類方"/>
    <s v="證治準繩·類方"/>
    <s v="王肯堂"/>
    <x v="5"/>
    <n v="1602"/>
    <m/>
    <s v="https://jicheng.tw/tcm/book/%e8%ad%89%e6%b2%bb%e6%ba%96%e7%b9%a9/%e9%a1%9e%e6%96%b9/index.html"/>
  </r>
  <r>
    <x v="19"/>
    <x v="33"/>
    <x v="3"/>
    <s v="証治準縄·傷寒"/>
    <s v="證治準繩·傷寒"/>
    <s v="王肯堂"/>
    <x v="5"/>
    <n v="1602"/>
    <m/>
    <s v="https://jicheng.tw/tcm/book/%e8%ad%89%e6%b2%bb%e6%ba%96%e7%b9%a9/%e5%82%b7%e5%af%92/index.html"/>
  </r>
  <r>
    <x v="19"/>
    <x v="33"/>
    <x v="3"/>
    <s v="証治準縄·傷寒_1"/>
    <s v="證治準繩·傷寒_1"/>
    <s v="王肯堂"/>
    <x v="5"/>
    <n v="1602"/>
    <m/>
    <s v="https://jicheng.tw/tcm/book/%e8%ad%89%e6%b2%bb%e6%ba%96%e7%b9%a9/%e5%82%b7%e5%af%92%5f%31/index.html"/>
  </r>
  <r>
    <x v="19"/>
    <x v="33"/>
    <x v="3"/>
    <s v="証治準縄·女科"/>
    <s v="證治準繩·女科"/>
    <s v="王肯堂"/>
    <x v="5"/>
    <n v="1602"/>
    <m/>
    <s v="https://jicheng.tw/tcm/book/%e8%ad%89%e6%b2%bb%e6%ba%96%e7%b9%a9/%e5%a5%b3%e7%a7%91/index.html"/>
  </r>
  <r>
    <x v="19"/>
    <x v="33"/>
    <x v="3"/>
    <s v="証治準縄·女科_1"/>
    <s v="證治準繩·女科_1"/>
    <s v="王肯堂"/>
    <x v="5"/>
    <n v="1602"/>
    <m/>
    <s v="https://jicheng.tw/tcm/book/%e8%ad%89%e6%b2%bb%e6%ba%96%e7%b9%a9/%e5%a5%b3%e7%a7%91%5f%31/index.html"/>
  </r>
  <r>
    <x v="19"/>
    <x v="33"/>
    <x v="3"/>
    <s v="証治準縄·幼科"/>
    <s v="證治準繩·幼科"/>
    <s v="王肯堂"/>
    <x v="5"/>
    <n v="1602"/>
    <m/>
    <s v="https://jicheng.tw/tcm/book/%e8%ad%89%e6%b2%bb%e6%ba%96%e7%b9%a9/%e5%b9%bc%e7%a7%91/index.html"/>
  </r>
  <r>
    <x v="19"/>
    <x v="33"/>
    <x v="3"/>
    <s v="証治準縄·瘍医"/>
    <s v="證治準繩·瘍醫"/>
    <s v="王肯堂"/>
    <x v="5"/>
    <n v="1602"/>
    <m/>
    <s v="https://jicheng.tw/tcm/book/%e8%ad%89%e6%b2%bb%e6%ba%96%e7%b9%a9/%e7%98%8d%e9%86%ab/index.html"/>
  </r>
  <r>
    <x v="19"/>
    <x v="34"/>
    <x v="3"/>
    <s v="医宗金鑑·訂正仲景全書傷寒論註"/>
    <s v="醫宗金鑑·訂正仲景全書傷寒論註"/>
    <s v="吳謙等"/>
    <x v="3"/>
    <n v="1742"/>
    <m/>
    <s v="https://jicheng.tw/tcm/book/%e9%86%ab%e5%ae%97%e9%87%91%e9%91%91/%e8%a8%82%e6%ad%a3%e4%bb%b2%e6%99%af%e5%85%a8%e6%9b%b8%e5%82%b7%e5%af%92%e8%ab%96%e8%a8%bb/index.html"/>
  </r>
  <r>
    <x v="19"/>
    <x v="34"/>
    <x v="3"/>
    <s v="医宗金鑑·訂正仲景全書金匱要略註"/>
    <s v="醫宗金鑑·訂正仲景全書金匱要略註"/>
    <s v="吳謙等"/>
    <x v="3"/>
    <n v="1742"/>
    <m/>
    <s v="https://jicheng.tw/tcm/book/%e9%86%ab%e5%ae%97%e9%87%91%e9%91%91/%e8%a8%82%e6%ad%a3%e4%bb%b2%e6%99%af%e5%85%a8%e6%9b%b8%e9%87%91%e5%8c%b1%e8%a6%81%e7%95%a5%e8%a8%bb/index.html"/>
  </r>
  <r>
    <x v="19"/>
    <x v="34"/>
    <x v="3"/>
    <s v="医宗金鑑·刪補名医方論"/>
    <s v="醫宗金鑑·刪補名醫方論"/>
    <s v="吳謙等"/>
    <x v="3"/>
    <n v="1742"/>
    <m/>
    <s v="https://jicheng.tw/tcm/book/%e9%86%ab%e5%ae%97%e9%87%91%e9%91%91/%e5%88%aa%e8%a3%9c%e5%90%8d%e9%86%ab%e6%96%b9%e8%ab%96/index.html"/>
  </r>
  <r>
    <x v="19"/>
    <x v="34"/>
    <x v="3"/>
    <s v="医宗金鑑·四診心法要訣"/>
    <s v="醫宗金鑑·四診心法要訣"/>
    <s v="吳謙等"/>
    <x v="3"/>
    <n v="1742"/>
    <m/>
    <s v="https://jicheng.tw/tcm/book/%e9%86%ab%e5%ae%97%e9%87%91%e9%91%91/%e5%9b%9b%e8%a8%ba%e5%bf%83%e6%b3%95%e8%a6%81%e8%a8%a3/index.html"/>
  </r>
  <r>
    <x v="19"/>
    <x v="34"/>
    <x v="3"/>
    <s v="医宗金鑑·運気要訣"/>
    <s v="醫宗金鑑·運氣要訣"/>
    <s v="吳謙等"/>
    <x v="3"/>
    <n v="1742"/>
    <m/>
    <s v="https://jicheng.tw/tcm/book/%e9%86%ab%e5%ae%97%e9%87%91%e9%91%91/%e9%81%8b%e6%b0%a3%e8%a6%81%e8%a8%a3/index.html"/>
  </r>
  <r>
    <x v="19"/>
    <x v="34"/>
    <x v="3"/>
    <s v="医宗金鑑·傷寒心法要訣"/>
    <s v="醫宗金鑑·傷寒心法要訣"/>
    <s v="吳謙等"/>
    <x v="3"/>
    <n v="1742"/>
    <m/>
    <s v="https://jicheng.tw/tcm/book/%e9%86%ab%e5%ae%97%e9%87%91%e9%91%91/%e5%82%b7%e5%af%92%e5%bf%83%e6%b3%95%e8%a6%81%e8%a8%a3/index.html"/>
  </r>
  <r>
    <x v="19"/>
    <x v="34"/>
    <x v="3"/>
    <s v="医宗金鑑·雑病心法要訣"/>
    <s v="醫宗金鑑·雜病心法要訣"/>
    <s v="吳謙等"/>
    <x v="3"/>
    <n v="1742"/>
    <m/>
    <s v="https://jicheng.tw/tcm/book/%e9%86%ab%e5%ae%97%e9%87%91%e9%91%91/%e9%9b%9c%e7%97%85%e5%bf%83%e6%b3%95%e8%a6%81%e8%a8%a3/index.html"/>
  </r>
  <r>
    <x v="19"/>
    <x v="34"/>
    <x v="3"/>
    <s v="医宗金鑑·婦科心法要訣"/>
    <s v="醫宗金鑑·婦科心法要訣"/>
    <s v="吳謙等"/>
    <x v="3"/>
    <n v="1742"/>
    <m/>
    <s v="https://jicheng.tw/tcm/book/%e9%86%ab%e5%ae%97%e9%87%91%e9%91%91/%e5%a9%a6%e7%a7%91%e5%bf%83%e6%b3%95%e8%a6%81%e8%a8%a3/index.html"/>
  </r>
  <r>
    <x v="19"/>
    <x v="34"/>
    <x v="3"/>
    <s v="医宗金鑑·幼科心法要訣"/>
    <s v="醫宗金鑑·幼科心法要訣"/>
    <s v="吳謙等"/>
    <x v="3"/>
    <n v="1742"/>
    <m/>
    <s v="https://jicheng.tw/tcm/book/%e9%86%ab%e5%ae%97%e9%87%91%e9%91%91/%e5%b9%bc%e7%a7%91%e5%bf%83%e6%b3%95%e8%a6%81%e8%a8%a3/index.html"/>
  </r>
  <r>
    <x v="19"/>
    <x v="34"/>
    <x v="3"/>
    <s v="医宗金鑑·痘疹心法要訣"/>
    <s v="醫宗金鑑·痘疹心法要訣"/>
    <s v="吳謙等"/>
    <x v="3"/>
    <n v="1742"/>
    <m/>
    <s v="https://jicheng.tw/tcm/book/%e9%86%ab%e5%ae%97%e9%87%91%e9%91%91/%e7%97%98%e7%96%b9%e5%bf%83%e6%b3%95%e8%a6%81%e8%a8%a3/index.html"/>
  </r>
  <r>
    <x v="19"/>
    <x v="34"/>
    <x v="3"/>
    <s v="医宗金鑑·幼科種痘心法要旨"/>
    <s v="醫宗金鑑·幼科種痘心法要旨"/>
    <s v="吳謙等"/>
    <x v="3"/>
    <n v="1742"/>
    <m/>
    <s v="https://jicheng.tw/tcm/book/%e9%86%ab%e5%ae%97%e9%87%91%e9%91%91/%e5%b9%bc%e7%a7%91%e7%a8%ae%e7%97%98%e5%bf%83%e6%b3%95%e8%a6%81%e6%97%a8/index.html"/>
  </r>
  <r>
    <x v="19"/>
    <x v="34"/>
    <x v="3"/>
    <s v="医宗金鑑·眼科心法要訣"/>
    <s v="醫宗金鑑·眼科心法要訣"/>
    <s v="吳謙等"/>
    <x v="3"/>
    <n v="1742"/>
    <m/>
    <s v="https://jicheng.tw/tcm/book/%e9%86%ab%e5%ae%97%e9%87%91%e9%91%91/%e7%9c%bc%e7%a7%91%e5%bf%83%e6%b3%95%e8%a6%81%e8%a8%a3/index.html"/>
  </r>
  <r>
    <x v="19"/>
    <x v="34"/>
    <x v="3"/>
    <s v="医宗金鑑·刺灸心法要訣"/>
    <s v="醫宗金鑑·刺灸心法要訣"/>
    <s v="吳謙等"/>
    <x v="3"/>
    <n v="1742"/>
    <m/>
    <s v="https://jicheng.tw/tcm/book/%e9%86%ab%e5%ae%97%e9%87%91%e9%91%91/%e5%88%ba%e7%81%b8%e5%bf%83%e6%b3%95%e8%a6%81%e8%a8%a3/index.html"/>
  </r>
  <r>
    <x v="19"/>
    <x v="34"/>
    <x v="3"/>
    <s v="医宗金鑑·正骨心法要旨"/>
    <s v="醫宗金鑑·正骨心法要旨"/>
    <s v="吳謙等"/>
    <x v="3"/>
    <n v="1742"/>
    <m/>
    <s v="https://jicheng.tw/tcm/book/%e9%86%ab%e5%ae%97%e9%87%91%e9%91%91/%e6%ad%a3%e9%aa%a8%e5%bf%83%e6%b3%95%e8%a6%81%e6%97%a8/index.html"/>
  </r>
  <r>
    <x v="19"/>
    <x v="34"/>
    <x v="3"/>
    <s v="医宗金鑑·外科心法要訣"/>
    <s v="醫宗金鑑·外科心法要訣"/>
    <s v="吳謙等"/>
    <x v="3"/>
    <n v="1742"/>
    <m/>
    <s v="https://jicheng.tw/tcm/book/%e9%86%ab%e5%ae%97%e9%87%91%e9%91%91/%e5%a4%96%e7%a7%91%e5%bf%83%e6%b3%95%e8%a6%81%e8%a8%a3/index.html"/>
  </r>
  <r>
    <x v="19"/>
    <x v="34"/>
    <x v="3"/>
    <s v="医宗金鑑_1"/>
    <s v="醫宗金鑑_1"/>
    <s v="吳謙等"/>
    <x v="3"/>
    <n v="1742"/>
    <m/>
    <s v="https://jicheng.tw/tcm/book/%e9%86%ab%e5%ae%97%e9%87%91%e9%91%91%5f%31/index.html"/>
  </r>
  <r>
    <x v="19"/>
    <x v="34"/>
    <x v="3"/>
    <s v="医宗金鑑_2·訂正仲景全書"/>
    <s v="醫宗金鑑_2·訂正仲景全書"/>
    <s v="吳謙等"/>
    <x v="3"/>
    <m/>
    <m/>
    <s v="https://jicheng.tw/tcm/book/%e9%86%ab%e5%ae%97%e9%87%91%e9%91%91%5f%32/%e8%a8%82%e6%ad%a3%e4%bb%b2%e6%99%af%e5%85%a8%e6%9b%b8/index.html"/>
  </r>
  <r>
    <x v="19"/>
    <x v="35"/>
    <x v="3"/>
    <s v="医宗金鑑_条列版·訂正仲景全書傷寒論註"/>
    <s v="醫宗金鑑_條列版·訂正仲景全書傷寒論註"/>
    <s v="吳謙等"/>
    <x v="3"/>
    <n v="1742"/>
    <m/>
    <s v="https://jicheng.tw/tcm/book/%e9%86%ab%e5%ae%97%e9%87%91%e9%91%91%5f%e6%a2%9d%e5%88%97%e7%89%88/%e8%a8%82%e6%ad%a3%e4%bb%b2%e6%99%af%e5%85%a8%e6%9b%b8%e5%82%b7%e5%af%92%e8%ab%96%e8%a8%bb/index.html"/>
  </r>
  <r>
    <x v="19"/>
    <x v="35"/>
    <x v="3"/>
    <s v="医宗金鑑_条列版·訂正仲景全書金匱要略註"/>
    <s v="醫宗金鑑_條列版·訂正仲景全書金匱要略註"/>
    <s v="吳謙等"/>
    <x v="3"/>
    <n v="1742"/>
    <m/>
    <s v="https://jicheng.tw/tcm/book/%e9%86%ab%e5%ae%97%e9%87%91%e9%91%91%5f%e6%a2%9d%e5%88%97%e7%89%88/%e8%a8%82%e6%ad%a3%e4%bb%b2%e6%99%af%e5%85%a8%e6%9b%b8%e9%87%91%e5%8c%b1%e8%a6%81%e7%95%a5%e8%a8%bb/index.html"/>
  </r>
  <r>
    <x v="19"/>
    <x v="35"/>
    <x v="3"/>
    <s v="医宗金鑑_条列版·刪補名医方論"/>
    <s v="醫宗金鑑_條列版·刪補名醫方論"/>
    <s v="吳謙等"/>
    <x v="3"/>
    <n v="1742"/>
    <m/>
    <s v="https://jicheng.tw/tcm/book/%e9%86%ab%e5%ae%97%e9%87%91%e9%91%91%5f%e6%a2%9d%e5%88%97%e7%89%88/%e5%88%aa%e8%a3%9c%e5%90%8d%e9%86%ab%e6%96%b9%e8%ab%96/index.html"/>
  </r>
  <r>
    <x v="19"/>
    <x v="35"/>
    <x v="3"/>
    <s v="医宗金鑑_条列版·雑病心法"/>
    <s v="醫宗金鑑_條列版·雜病心法"/>
    <s v="吳謙等"/>
    <x v="3"/>
    <n v="1742"/>
    <m/>
    <s v="https://jicheng.tw/tcm/book/%e9%86%ab%e5%ae%97%e9%87%91%e9%91%91%5f%e6%a2%9d%e5%88%97%e7%89%88/%e9%9b%9c%e7%97%85%e5%bf%83%e6%b3%95/index.html"/>
  </r>
  <r>
    <x v="19"/>
    <x v="35"/>
    <x v="3"/>
    <s v="医宗金鑑_条列版·婦科心法要訣"/>
    <s v="醫宗金鑑_條列版·婦科心法要訣"/>
    <s v="吳謙等"/>
    <x v="3"/>
    <n v="1742"/>
    <m/>
    <s v="https://jicheng.tw/tcm/book/%e9%86%ab%e5%ae%97%e9%87%91%e9%91%91%5f%e6%a2%9d%e5%88%97%e7%89%88/%e5%a9%a6%e7%a7%91%e5%bf%83%e6%b3%95%e8%a6%81%e8%a8%a3/index.html"/>
  </r>
  <r>
    <x v="19"/>
    <x v="35"/>
    <x v="3"/>
    <s v="医宗金鑑_条列版·幼科雑病心法"/>
    <s v="醫宗金鑑_條列版·幼科雜病心法"/>
    <s v="吳謙等"/>
    <x v="3"/>
    <n v="1742"/>
    <m/>
    <s v="https://jicheng.tw/tcm/book/%e9%86%ab%e5%ae%97%e9%87%91%e9%91%91%5f%e6%a2%9d%e5%88%97%e7%89%88/%e5%b9%bc%e7%a7%91%e9%9b%9c%e7%97%85%e5%bf%83%e6%b3%95/index.html"/>
  </r>
  <r>
    <x v="19"/>
    <x v="35"/>
    <x v="3"/>
    <s v="医宗金鑑_条列版·痘疹心法要訣"/>
    <s v="醫宗金鑑_條列版·痘疹心法要訣"/>
    <s v="吳謙等"/>
    <x v="3"/>
    <n v="1742"/>
    <m/>
    <s v="https://jicheng.tw/tcm/book/%e9%86%ab%e5%ae%97%e9%87%91%e9%91%91%5f%e6%a2%9d%e5%88%97%e7%89%88/%e7%97%98%e7%96%b9%e5%bf%83%e6%b3%95%e8%a6%81%e8%a8%a3/index.html"/>
  </r>
  <r>
    <x v="19"/>
    <x v="35"/>
    <x v="3"/>
    <s v="医宗金鑑_条列版·眼科心法"/>
    <s v="醫宗金鑑_條列版·眼科心法"/>
    <s v="吳謙等"/>
    <x v="3"/>
    <n v="1742"/>
    <m/>
    <s v="https://jicheng.tw/tcm/book/%e9%86%ab%e5%ae%97%e9%87%91%e9%91%91%5f%e6%a2%9d%e5%88%97%e7%89%88/%e7%9c%bc%e7%a7%91%e5%bf%83%e6%b3%95/index.html"/>
  </r>
  <r>
    <x v="19"/>
    <x v="35"/>
    <x v="3"/>
    <s v="医宗金鑑_条列版·刺灸心法要訣"/>
    <s v="醫宗金鑑_條列版·刺灸心法要訣"/>
    <s v="吳謙等"/>
    <x v="3"/>
    <n v="1742"/>
    <m/>
    <s v="https://jicheng.tw/tcm/book/%e9%86%ab%e5%ae%97%e9%87%91%e9%91%91%5f%e6%a2%9d%e5%88%97%e7%89%88/%e5%88%ba%e7%81%b8%e5%bf%83%e6%b3%95%e8%a6%81%e8%a8%a3/index.html"/>
  </r>
  <r>
    <x v="19"/>
    <x v="35"/>
    <x v="3"/>
    <s v="医宗金鑑_条列版·正骨心法要旨"/>
    <s v="醫宗金鑑_條列版·正骨心法要旨"/>
    <s v="吳謙等"/>
    <x v="3"/>
    <n v="1742"/>
    <m/>
    <s v="https://jicheng.tw/tcm/book/%e9%86%ab%e5%ae%97%e9%87%91%e9%91%91%5f%e6%a2%9d%e5%88%97%e7%89%88/%e6%ad%a3%e9%aa%a8%e5%bf%83%e6%b3%95%e8%a6%81%e6%97%a8/index.html"/>
  </r>
  <r>
    <x v="19"/>
    <x v="36"/>
    <x v="3"/>
    <s v="彤園医書·婦人科"/>
    <s v="彤園醫書·婦人科"/>
    <s v="鄭玉壇"/>
    <x v="3"/>
    <n v="1795"/>
    <m/>
    <s v="https://jicheng.tw/tcm/book/%e5%bd%a4%e5%9c%92%e9%86%ab%e6%9b%b8/%e5%a9%a6%e4%ba%ba%e7%a7%91/index.html"/>
  </r>
  <r>
    <x v="19"/>
    <x v="36"/>
    <x v="3"/>
    <s v="彤園医書·小児科"/>
    <s v="彤園醫書·小兒科"/>
    <s v="鄭玉壇"/>
    <x v="3"/>
    <n v="1795"/>
    <m/>
    <s v="https://jicheng.tw/tcm/book/%e5%bd%a4%e5%9c%92%e9%86%ab%e6%9b%b8/%e5%b0%8f%e5%85%92%e7%a7%91/index.html"/>
  </r>
  <r>
    <x v="19"/>
    <x v="36"/>
    <x v="3"/>
    <s v="彤園医書·外科"/>
    <s v="彤園醫書·外科"/>
    <s v="鄭玉壇"/>
    <x v="3"/>
    <n v="1795"/>
    <m/>
    <s v="https://jicheng.tw/tcm/book/%e5%bd%a4%e5%9c%92%e9%86%ab%e6%9b%b8/%e5%a4%96%e7%a7%91/index.html"/>
  </r>
  <r>
    <x v="19"/>
    <x v="37"/>
    <x v="3"/>
    <s v="金匱啓鑰·婦科"/>
    <s v="金匱啟鑰·婦科"/>
    <s v="黃朝坊"/>
    <x v="3"/>
    <n v="1804"/>
    <m/>
    <s v="https://jicheng.tw/tcm/book/%e9%87%91%e5%8c%b1%e5%95%9f%e9%91%b0/%e5%a9%a6%e7%a7%91/index.html"/>
  </r>
  <r>
    <x v="19"/>
    <x v="37"/>
    <x v="3"/>
    <s v="金匱啓鑰·幼科"/>
    <s v="金匱啟鑰·幼科"/>
    <s v="黃朝坊"/>
    <x v="3"/>
    <n v="1804"/>
    <m/>
    <s v="https://jicheng.tw/tcm/book/%E9%87%91%E5%8C%B1%E5%95%9F%E9%91%B0/%E5%B9%BC%E7%A7%91/index.html"/>
  </r>
  <r>
    <x v="19"/>
    <x v="37"/>
    <x v="3"/>
    <s v="金匱啓鑰·眼科"/>
    <s v="金匱啟鑰·眼科"/>
    <s v="黃朝坊"/>
    <x v="3"/>
    <n v="1804"/>
    <m/>
    <s v="https://jicheng.tw/tcm/book/%E9%87%91%E5%8C%B1%E5%95%9F%E9%91%B0/%E7%9C%BC%E7%A7%91/index.html"/>
  </r>
  <r>
    <x v="19"/>
    <x v="38"/>
    <x v="3"/>
    <s v="素問識"/>
    <s v="素問識"/>
    <s v="丹波元簡"/>
    <x v="3"/>
    <n v="1806"/>
    <m/>
    <s v="https://jicheng.tw/tcm/book/%e7%b4%a0%e5%95%8f%e8%ad%98/index.html"/>
  </r>
  <r>
    <x v="19"/>
    <x v="38"/>
    <x v="3"/>
    <s v="素問紹識"/>
    <s v="素問紹識"/>
    <s v="丹波元堅"/>
    <x v="3"/>
    <m/>
    <m/>
    <s v="https://jicheng.tw/tcm/book/%e7%b4%a0%e5%95%8f%e7%b4%b9%e8%ad%98/index.html"/>
  </r>
  <r>
    <x v="19"/>
    <x v="38"/>
    <x v="3"/>
    <s v="難経疏証"/>
    <s v="難經疏證"/>
    <s v="丹波元胤"/>
    <x v="3"/>
    <m/>
    <m/>
    <s v="https://jicheng.tw/tcm/book/%e9%9b%a3%e7%b6%93%e7%96%8f%e8%ad%89/index.html"/>
  </r>
  <r>
    <x v="19"/>
    <x v="38"/>
    <x v="3"/>
    <s v="医事啓源"/>
    <s v="醫事啟源"/>
    <s v="今樹亮"/>
    <x v="1"/>
    <m/>
    <m/>
    <s v="https://jicheng.tw/tcm/book/%e9%86%ab%e4%ba%8b%e5%95%9f%e6%ba%90/index.html"/>
  </r>
  <r>
    <x v="19"/>
    <x v="38"/>
    <x v="3"/>
    <s v="医家千字文"/>
    <s v="醫家千字文"/>
    <s v="唯宗時俊"/>
    <x v="3"/>
    <m/>
    <m/>
    <s v="https://jicheng.tw/tcm/book/%e9%86%ab%e5%ae%b6%e5%8d%83%e5%ad%97%e6%96%87/index.html"/>
  </r>
  <r>
    <x v="19"/>
    <x v="38"/>
    <x v="3"/>
    <s v="証治摘要"/>
    <s v="證治摘要"/>
    <s v="中川成章"/>
    <x v="3"/>
    <n v="1865"/>
    <m/>
    <s v="https://jicheng.tw/tcm/book/%e8%ad%89%e6%b2%bb%e6%91%98%e8%a6%81/index.html"/>
  </r>
  <r>
    <x v="19"/>
    <x v="38"/>
    <x v="3"/>
    <s v="皇国名医伝"/>
    <s v="皇國名醫傳"/>
    <s v="淺田惟常"/>
    <x v="1"/>
    <m/>
    <m/>
    <s v="https://jicheng.tw/tcm/book/%e7%9a%87%e5%9c%8b%e5%90%8d%e9%86%ab%e5%82%b3/index.html"/>
  </r>
  <r>
    <x v="19"/>
    <x v="38"/>
    <x v="3"/>
    <s v="中国医籍考"/>
    <s v="中國醫籍考"/>
    <s v="丹波元胤"/>
    <x v="1"/>
    <n v="1831"/>
    <m/>
    <s v="https://jicheng.tw/tcm/book/%e4%b8%ad%e5%9c%8b%e9%86%ab%e7%b1%8d%e8%80%83/index.html"/>
  </r>
  <r>
    <x v="19"/>
    <x v="38"/>
    <x v="3"/>
    <s v="中国内科医鑑"/>
    <s v="中國內科醫鑑"/>
    <s v="大塜敬節"/>
    <x v="1"/>
    <n v="1936"/>
    <m/>
    <s v="https://jicheng.tw/tcm/book/%e4%b8%ad%e5%9c%8b%e5%85%a7%e7%a7%91%e9%86%ab%e9%91%91/index.html"/>
  </r>
  <r>
    <x v="19"/>
    <x v="38"/>
    <x v="3"/>
    <s v="傷寒之研究"/>
    <s v="傷寒之研究"/>
    <s v="中西惟忠"/>
    <x v="1"/>
    <m/>
    <m/>
    <s v="https://jicheng.tw/tcm/book/%e5%82%b7%e5%af%92%e4%b9%8b%e7%a0%94%e7%a9%b6/index.html"/>
  </r>
  <r>
    <x v="19"/>
    <x v="38"/>
    <x v="3"/>
    <s v="傷寒論綱要"/>
    <s v="傷寒論綱要"/>
    <s v="橘南谿"/>
    <x v="1"/>
    <m/>
    <m/>
    <s v="https://jicheng.tw/tcm/book/%e5%82%b7%e5%af%92%e8%ab%96%e7%b6%b1%e8%a6%81/index.html"/>
  </r>
  <r>
    <x v="19"/>
    <x v="38"/>
    <x v="3"/>
    <s v="傷寒広要"/>
    <s v="傷寒廣要"/>
    <s v="丹波元堅"/>
    <x v="3"/>
    <m/>
    <m/>
    <s v="https://jicheng.tw/tcm/book/%e5%82%b7%e5%af%92%e5%bb%a3%e8%a6%81/index.html"/>
  </r>
  <r>
    <x v="19"/>
    <x v="38"/>
    <x v="3"/>
    <s v="傷寒論輯義"/>
    <s v="傷寒論輯義"/>
    <s v="丹波元簡"/>
    <x v="1"/>
    <m/>
    <m/>
    <s v="https://jicheng.tw/tcm/book/%e5%82%b7%e5%af%92%e8%ab%96%e8%bc%af%e7%be%a9/index.html"/>
  </r>
  <r>
    <x v="19"/>
    <x v="38"/>
    <x v="3"/>
    <s v="傷寒論述義"/>
    <s v="傷寒論述義"/>
    <s v="丹波元堅"/>
    <x v="3"/>
    <n v="1827"/>
    <m/>
    <s v="https://jicheng.tw/tcm/book/%e5%82%b7%e5%af%92%e8%ab%96%e8%bf%b0%e7%be%a9/index.html"/>
  </r>
  <r>
    <x v="19"/>
    <x v="38"/>
    <x v="3"/>
    <s v="傷寒論集成"/>
    <s v="傷寒論集成"/>
    <s v="山田正珍"/>
    <x v="3"/>
    <n v="1789"/>
    <m/>
    <s v="https://jicheng.tw/tcm/book/%e5%82%b7%e5%af%92%e8%ab%96%e9%9b%86%e6%88%90/index.html"/>
  </r>
  <r>
    <x v="19"/>
    <x v="38"/>
    <x v="3"/>
    <s v="傷寒用薬研究"/>
    <s v="傷寒用藥研究"/>
    <s v="川越正淑"/>
    <x v="1"/>
    <m/>
    <m/>
    <s v="https://jicheng.tw/tcm/book/%e5%82%b7%e5%af%92%e7%94%a8%e8%97%a5%e7%a0%94%e7%a9%b6/index.html"/>
  </r>
  <r>
    <x v="19"/>
    <x v="38"/>
    <x v="3"/>
    <s v="傷寒脈証式"/>
    <s v="傷寒脈證式"/>
    <s v="川越正淑"/>
    <x v="1"/>
    <m/>
    <m/>
    <s v="https://jicheng.tw/tcm/book/%e5%82%b7%e5%af%92%e8%84%88%e8%ad%89%e5%bc%8f/index.html"/>
  </r>
  <r>
    <x v="19"/>
    <x v="38"/>
    <x v="3"/>
    <s v="金匱玉函要略述義"/>
    <s v="金匱玉函要略述義"/>
    <s v="丹波元堅"/>
    <x v="3"/>
    <n v="1842"/>
    <m/>
    <s v="https://jicheng.tw/tcm/book/%e9%87%91%e5%8c%b1%e7%8e%89%e5%87%bd%e8%a6%81%e7%95%a5%e8%bf%b0%e7%be%a9/index.html"/>
  </r>
  <r>
    <x v="19"/>
    <x v="38"/>
    <x v="3"/>
    <s v="金匱玉函要略輯義"/>
    <s v="金匱玉函要略輯義"/>
    <s v="丹波元簡"/>
    <x v="3"/>
    <n v="1806"/>
    <m/>
    <s v="https://jicheng.tw/tcm/book/%e9%87%91%e5%8c%b1%e7%8e%89%e5%87%bd%e8%a6%81%e7%95%a5%e8%bc%af%e7%be%a9/index.html"/>
  </r>
  <r>
    <x v="19"/>
    <x v="38"/>
    <x v="3"/>
    <s v="長沙証彙"/>
    <s v="長沙證彙"/>
    <s v="田中榮信"/>
    <x v="3"/>
    <m/>
    <m/>
    <s v="https://jicheng.tw/tcm/book/%e9%95%b7%e6%b2%99%e8%ad%89%e5%bd%99/index.html"/>
  </r>
  <r>
    <x v="19"/>
    <x v="38"/>
    <x v="3"/>
    <s v="傷風約言"/>
    <s v="傷風約言"/>
    <s v="後藤省"/>
    <x v="3"/>
    <n v="1795"/>
    <m/>
    <s v="https://jicheng.tw/tcm/book/%e5%82%b7%e9%a2%a8%e7%b4%84%e8%a8%80/index.html"/>
  </r>
  <r>
    <x v="19"/>
    <x v="38"/>
    <x v="3"/>
    <s v="温病之研究"/>
    <s v="溫病之研究"/>
    <s v="源元凱"/>
    <x v="1"/>
    <m/>
    <m/>
    <s v="https://jicheng.tw/tcm/book/%e6%ba%ab%e7%97%85%e4%b9%8b%e7%a0%94%e7%a9%b6/index.html"/>
  </r>
  <r>
    <x v="19"/>
    <x v="38"/>
    <x v="3"/>
    <s v="温疫論私評"/>
    <s v="溫疫論私評"/>
    <s v="秋吉質"/>
    <x v="1"/>
    <m/>
    <m/>
    <s v="https://jicheng.tw/tcm/book/%e6%ba%ab%e7%96%ab%e8%ab%96%e7%a7%81%e8%a9%95/index.html"/>
  </r>
  <r>
    <x v="19"/>
    <x v="38"/>
    <x v="3"/>
    <s v="瀉疫新論"/>
    <s v="瀉疫新論"/>
    <s v="高島久貫"/>
    <x v="1"/>
    <m/>
    <m/>
    <s v="https://jicheng.tw/tcm/book/%e7%80%89%e7%96%ab%e6%96%b0%e8%ab%96/index.html"/>
  </r>
  <r>
    <x v="19"/>
    <x v="38"/>
    <x v="3"/>
    <s v="脚気鈎要"/>
    <s v="腳氣鉤要"/>
    <s v="今邨亮"/>
    <x v="1"/>
    <m/>
    <m/>
    <s v="https://jicheng.tw/tcm/book/%e8%85%b3%e6%b0%a3%e9%89%a4%e8%a6%81/index.html"/>
  </r>
  <r>
    <x v="19"/>
    <x v="38"/>
    <x v="3"/>
    <s v="脚気概論"/>
    <s v="腳氣概論"/>
    <s v="岡田昌春等"/>
    <x v="1"/>
    <m/>
    <m/>
    <s v="https://jicheng.tw/tcm/book/%e8%85%b3%e6%b0%a3%e6%a6%82%e8%ab%96/index.html"/>
  </r>
  <r>
    <x v="19"/>
    <x v="38"/>
    <x v="3"/>
    <s v="疝気証治論"/>
    <s v="疝氣證治論"/>
    <s v="大橋尚因"/>
    <x v="1"/>
    <m/>
    <m/>
    <s v="https://jicheng.tw/tcm/book/%e7%96%9d%e6%b0%a3%e8%ad%89%e6%b2%bb%e8%ab%96/index.html"/>
  </r>
  <r>
    <x v="19"/>
    <x v="38"/>
    <x v="3"/>
    <s v="中国接骨図説"/>
    <s v="中國接骨圖說"/>
    <s v="二宮獻"/>
    <x v="3"/>
    <n v="1808"/>
    <m/>
    <s v="https://jicheng.tw/tcm/book/%e4%b8%ad%e5%9c%8b%e6%8e%a5%e9%aa%a8%e5%9c%96%e8%aa%aa/index.html"/>
  </r>
  <r>
    <x v="19"/>
    <x v="38"/>
    <x v="3"/>
    <s v="産科発蒙"/>
    <s v="產科發蒙"/>
    <s v="片倉元周"/>
    <x v="3"/>
    <m/>
    <m/>
    <s v="https://jicheng.tw/tcm/book/%e7%94%a2%e7%a7%91%e7%99%bc%e8%92%99/index.html"/>
  </r>
  <r>
    <x v="19"/>
    <x v="38"/>
    <x v="3"/>
    <s v="産論"/>
    <s v="產論"/>
    <s v="賀川玄悅"/>
    <x v="1"/>
    <m/>
    <m/>
    <s v="https://jicheng.tw/tcm/book/%e7%94%a2%e8%ab%96/index.html"/>
  </r>
  <r>
    <x v="19"/>
    <x v="38"/>
    <x v="3"/>
    <s v="産論翼"/>
    <s v="產論翼"/>
    <s v="賀川玄悅"/>
    <x v="1"/>
    <m/>
    <m/>
    <s v="https://jicheng.tw/tcm/book/%e7%94%a2%e8%ab%96%e7%bf%bc/index.html"/>
  </r>
  <r>
    <x v="19"/>
    <x v="38"/>
    <x v="3"/>
    <s v="中国児科医鑑"/>
    <s v="中國兒科醫鑑"/>
    <s v="大塜敬節"/>
    <x v="1"/>
    <n v="1936"/>
    <m/>
    <s v="https://jicheng.tw/tcm/book/%e4%b8%ad%e5%9c%8b%e5%85%92%e7%a7%91%e9%86%ab%e9%91%91/index.html"/>
  </r>
  <r>
    <x v="19"/>
    <x v="38"/>
    <x v="3"/>
    <s v="幼科証治大全"/>
    <s v="幼科證治大全"/>
    <s v="下津壽泉"/>
    <x v="1"/>
    <m/>
    <m/>
    <s v="https://jicheng.tw/tcm/book/%e5%b9%bc%e7%a7%91%e8%ad%89%e6%b2%bb%e5%a4%a7%e5%85%a8/index.html"/>
  </r>
  <r>
    <x v="19"/>
    <x v="38"/>
    <x v="3"/>
    <s v="痘科弁要"/>
    <s v="痘科辨要"/>
    <s v="池田瑞仙"/>
    <x v="1"/>
    <m/>
    <m/>
    <s v="https://jicheng.tw/tcm/book/%e7%97%98%e7%a7%91%e8%be%a8%e8%a6%81/index.html"/>
  </r>
  <r>
    <x v="19"/>
    <x v="38"/>
    <x v="3"/>
    <s v="眼科錦囊"/>
    <s v="眼科錦囊"/>
    <s v="本庄俊篤"/>
    <x v="1"/>
    <m/>
    <m/>
    <s v="https://jicheng.tw/tcm/book/%e7%9c%bc%e7%a7%91%e9%8c%a6%e5%9b%8a/index.html"/>
  </r>
  <r>
    <x v="19"/>
    <x v="38"/>
    <x v="3"/>
    <s v="黴癘新書"/>
    <s v="黴癘新書"/>
    <s v="片倉元周"/>
    <x v="3"/>
    <m/>
    <m/>
    <s v="https://jicheng.tw/tcm/book/%e9%bb%b4%e7%99%98%e6%96%b0%e6%9b%b8/index.html"/>
  </r>
  <r>
    <x v="19"/>
    <x v="38"/>
    <x v="3"/>
    <s v="経穴纂要"/>
    <s v="經穴纂要"/>
    <s v="小阪營升"/>
    <x v="3"/>
    <n v="1810"/>
    <m/>
    <s v="https://jicheng.tw/tcm/book/%e7%b6%93%e7%a9%b4%e7%ba%82%e8%a6%81/index.html"/>
  </r>
  <r>
    <x v="19"/>
    <x v="38"/>
    <x v="3"/>
    <s v="針学通論"/>
    <s v="針學通論"/>
    <s v="佐藤利信"/>
    <x v="1"/>
    <m/>
    <m/>
    <s v="https://jicheng.tw/tcm/book/%e9%87%9d%e5%ad%b8%e9%80%9a%e8%ab%96/index.html"/>
  </r>
  <r>
    <x v="19"/>
    <x v="38"/>
    <x v="3"/>
    <s v="鍼灸学綱要　＊鍼灸則のこと"/>
    <s v="針灸學綱要"/>
    <s v="管周桂"/>
    <x v="1"/>
    <m/>
    <m/>
    <s v="https://jicheng.tw/tcm/book/%e9%87%9d%e7%81%b8%e5%ad%b8%e7%b6%b1%e8%a6%81/index.html"/>
  </r>
  <r>
    <x v="19"/>
    <x v="38"/>
    <x v="3"/>
    <s v="選針三要集"/>
    <s v="選針三要集"/>
    <s v="杉山和一"/>
    <x v="1"/>
    <m/>
    <m/>
    <s v="https://jicheng.tw/tcm/book/%e9%81%b8%e9%87%9d%e4%b8%89%e8%a6%81%e9%9b%86/index.html"/>
  </r>
  <r>
    <x v="19"/>
    <x v="38"/>
    <x v="3"/>
    <s v="薬治通義"/>
    <s v="藥治通義"/>
    <s v="丹波元堅"/>
    <x v="3"/>
    <m/>
    <m/>
    <s v="https://jicheng.tw/tcm/book/%e8%97%a5%e6%b2%bb%e9%80%9a%e7%be%a9/index.html"/>
  </r>
  <r>
    <x v="19"/>
    <x v="38"/>
    <x v="3"/>
    <s v="脈学輯要"/>
    <s v="脈學輯要"/>
    <s v="丹波元簡"/>
    <x v="1"/>
    <m/>
    <m/>
    <s v="https://jicheng.tw/tcm/book/%e8%84%88%e5%ad%b8%e8%bc%af%e8%a6%81/index.html"/>
  </r>
  <r>
    <x v="19"/>
    <x v="38"/>
    <x v="3"/>
    <s v="方剤辞典"/>
    <s v="方劑辭典"/>
    <s v="水走嘉言"/>
    <x v="3"/>
    <n v="1811"/>
    <m/>
    <s v="https://jicheng.tw/tcm/book/%e6%96%b9%e5%8a%91%e8%be%ad%e5%85%b8/index.html"/>
  </r>
  <r>
    <x v="19"/>
    <x v="38"/>
    <x v="3"/>
    <s v="奇正方"/>
    <s v="奇正方"/>
    <s v="賀谷壽"/>
    <x v="1"/>
    <m/>
    <m/>
    <s v="https://jicheng.tw/tcm/book/%e5%a5%87%e6%ad%a3%e6%96%b9/index.html"/>
  </r>
  <r>
    <x v="19"/>
    <x v="38"/>
    <x v="3"/>
    <s v="丹方之研究"/>
    <s v="丹方之研究"/>
    <s v="岡西為人"/>
    <x v="1"/>
    <m/>
    <m/>
    <s v="https://jicheng.tw/tcm/book/%e4%b8%b9%e6%96%b9%e4%b9%8b%e7%a0%94%e7%a9%b6/index.html"/>
  </r>
  <r>
    <x v="19"/>
    <x v="38"/>
    <x v="3"/>
    <s v="類聚方"/>
    <s v="類聚方"/>
    <s v="吉益為則"/>
    <x v="3"/>
    <m/>
    <m/>
    <s v="https://jicheng.tw/tcm/book/%e9%a1%9e%e8%81%9a%e6%96%b9/index.html"/>
  </r>
  <r>
    <x v="19"/>
    <x v="38"/>
    <x v="3"/>
    <s v="方機"/>
    <s v="方機"/>
    <s v="吉益東洞"/>
    <x v="3"/>
    <m/>
    <m/>
    <s v="https://jicheng.tw/tcm/book/%e6%96%b9%e6%a9%9f/index.html"/>
  </r>
  <r>
    <x v="19"/>
    <x v="38"/>
    <x v="3"/>
    <s v="救急選方"/>
    <s v="救急選方"/>
    <s v="丹波元簡"/>
    <x v="3"/>
    <n v="1810"/>
    <m/>
    <s v="https://jicheng.tw/tcm/book/%e6%95%91%e6%80%a5%e9%81%b8%e6%96%b9/index.html"/>
  </r>
  <r>
    <x v="19"/>
    <x v="38"/>
    <x v="3"/>
    <s v="名家方選"/>
    <s v="名家方選"/>
    <s v="山田元倫"/>
    <x v="3"/>
    <n v="1781"/>
    <m/>
    <s v="https://jicheng.tw/tcm/book/%e5%90%8d%e5%ae%b6%e6%96%b9%e9%81%b8/index.html"/>
  </r>
  <r>
    <x v="19"/>
    <x v="38"/>
    <x v="3"/>
    <s v="家塾方与方極"/>
    <s v="家塾方與方極"/>
    <s v="吉益為則"/>
    <x v="3"/>
    <m/>
    <m/>
    <s v="https://jicheng.tw/tcm/book/%e5%ae%b6%e5%a1%be%e6%96%b9%e8%88%87%e6%96%b9%e6%a5%b5/index.html"/>
  </r>
  <r>
    <x v="19"/>
    <x v="38"/>
    <x v="3"/>
    <s v="医略抄"/>
    <s v="醫略抄"/>
    <s v="丹波元簡"/>
    <x v="3"/>
    <m/>
    <m/>
    <s v="https://jicheng.tw/tcm/book/%e9%86%ab%e7%95%a5%e6%8a%84/index.html"/>
  </r>
  <r>
    <x v="19"/>
    <x v="38"/>
    <x v="3"/>
    <s v="古方分量考"/>
    <s v="古方分量考"/>
    <s v="平井氏"/>
    <x v="3"/>
    <m/>
    <m/>
    <s v="https://jicheng.tw/tcm/book/%e5%8f%a4%e6%96%b9%e5%88%86%e9%87%8f%e8%80%83/index.html"/>
  </r>
  <r>
    <x v="19"/>
    <x v="38"/>
    <x v="3"/>
    <s v="医餘"/>
    <s v="醫餘"/>
    <s v="尾台逸士超"/>
    <x v="3"/>
    <n v="1862"/>
    <m/>
    <s v="https://jicheng.tw/tcm/book/%e9%86%ab%e9%a4%98/index.html"/>
  </r>
  <r>
    <x v="19"/>
    <x v="38"/>
    <x v="3"/>
    <s v="医賸"/>
    <s v="醫賸"/>
    <s v="櫟蔭拙者"/>
    <x v="3"/>
    <n v="1809"/>
    <m/>
    <s v="https://jicheng.tw/tcm/book/%e9%86%ab%e8%b3%b8/index.html"/>
  </r>
  <r>
    <x v="19"/>
    <x v="38"/>
    <x v="3"/>
    <s v="先哲医話集"/>
    <s v="先哲醫話集"/>
    <s v="長尾藻城"/>
    <x v="1"/>
    <m/>
    <m/>
    <s v="https://jicheng.tw/tcm/book/%e5%85%88%e5%93%b2%e9%86%ab%e8%a9%b1%e9%9b%86/index.html"/>
  </r>
  <r>
    <x v="19"/>
    <x v="38"/>
    <x v="3"/>
    <s v="青囊瑣探"/>
    <s v="青囊瑣探"/>
    <s v="片倉元周"/>
    <x v="1"/>
    <m/>
    <m/>
    <s v="https://jicheng.tw/tcm/book/%e9%9d%92%e5%9b%8a%e7%91%a3%e6%8e%a2/index.html"/>
  </r>
  <r>
    <x v="19"/>
    <x v="38"/>
    <x v="3"/>
    <s v="藤氏医談"/>
    <s v="藤氏醫談"/>
    <s v="近藤明"/>
    <x v="1"/>
    <m/>
    <m/>
    <s v="https://jicheng.tw/tcm/book/%e8%97%a4%e6%b0%8f%e9%86%ab%e8%ab%87/index.html"/>
  </r>
  <r>
    <x v="19"/>
    <x v="38"/>
    <x v="3"/>
    <s v="医断与斥医断"/>
    <s v="醫斷與斥醫斷"/>
    <s v="鶴沖元逸"/>
    <x v="1"/>
    <m/>
    <m/>
    <s v="https://jicheng.tw/tcm/book/%e9%86%ab%e6%96%b7%e8%88%87%e6%96%a5%e9%86%ab%e6%96%b7/index.html"/>
  </r>
  <r>
    <x v="19"/>
    <x v="38"/>
    <x v="3"/>
    <s v="北山医案"/>
    <s v="北山醫案"/>
    <s v="北山友松子"/>
    <x v="3"/>
    <n v="1745"/>
    <m/>
    <s v="https://jicheng.tw/tcm/book/%e5%8c%97%e5%b1%b1%e9%86%ab%e6%a1%88/index.html"/>
  </r>
  <r>
    <x v="19"/>
    <x v="38"/>
    <x v="3"/>
    <s v="生生堂治験"/>
    <s v="生生堂治驗"/>
    <s v="中神琴溪撰，小野遜編"/>
    <x v="1"/>
    <m/>
    <m/>
    <s v="https://jicheng.tw/tcm/book/%e7%94%9f%e7%94%9f%e5%a0%82%e6%b2%bb%e9%a9%97/index.html"/>
  </r>
  <r>
    <x v="19"/>
    <x v="38"/>
    <x v="3"/>
    <s v="建殊録"/>
    <s v="建殊錄"/>
    <s v="吉益為則撰，岩恭敬輯錄"/>
    <x v="1"/>
    <m/>
    <m/>
    <s v="https://jicheng.tw/tcm/book/%e5%bb%ba%e6%ae%8a%e9%8c%84/index.html"/>
  </r>
  <r>
    <x v="19"/>
    <x v="38"/>
    <x v="3"/>
    <s v="叢桂偶記"/>
    <s v="叢桂偶記"/>
    <s v="原昌克"/>
    <x v="3"/>
    <n v="1800"/>
    <m/>
    <s v="https://jicheng.tw/tcm/book/%e5%8f%a2%e6%a1%82%e5%81%b6%e8%a8%98/index.html"/>
  </r>
  <r>
    <x v="19"/>
    <x v="38"/>
    <x v="3"/>
    <s v="古書医言"/>
    <s v="古書醫言"/>
    <s v="吉益為則"/>
    <x v="3"/>
    <n v="1814"/>
    <m/>
    <s v="https://jicheng.tw/tcm/book/%e5%8f%a4%e6%9b%b8%e9%86%ab%e8%a8%80/index.html"/>
  </r>
  <r>
    <x v="19"/>
    <x v="38"/>
    <x v="3"/>
    <s v="薬徴"/>
    <s v="藥徵"/>
    <s v="吉益爲則"/>
    <x v="3"/>
    <n v="1771"/>
    <m/>
    <s v="https://jicheng.tw/tcm/book/%e8%97%a5%e5%be%b5/index.html"/>
  </r>
  <r>
    <x v="19"/>
    <x v="38"/>
    <x v="3"/>
    <s v="薬徴続編"/>
    <s v="藥徵續編"/>
    <s v="村井杶"/>
    <x v="3"/>
    <n v="1796"/>
    <m/>
    <s v="https://jicheng.tw/tcm/book/%e8%97%a5%e5%be%b5%e7%ba%8c%e7%b7%a8/index.html"/>
  </r>
  <r>
    <x v="19"/>
    <x v="38"/>
    <x v="3"/>
    <s v="漢薬研究綱要"/>
    <s v="漢藥研究綱要"/>
    <s v="久保田晴光"/>
    <x v="1"/>
    <m/>
    <m/>
    <s v="https://jicheng.tw/tcm/book/%e6%bc%a2%e8%97%a5%e7%a0%94%e7%a9%b6%e7%b6%b1%e8%a6%81/index.html"/>
  </r>
  <r>
    <x v="19"/>
    <x v="38"/>
    <x v="3"/>
    <s v="中国薬物学大綱"/>
    <s v="中國藥物學大綱"/>
    <s v="伊豫平住"/>
    <x v="11"/>
    <n v="1636"/>
    <m/>
    <s v="https://jicheng.tw/tcm/book/%e4%b8%ad%e5%9c%8b%e8%97%a5%e7%89%a9%e5%ad%b8%e5%a4%a7%e7%b6%b1/index.html"/>
  </r>
  <r>
    <x v="19"/>
    <x v="38"/>
    <x v="3"/>
    <s v="鹿茸之研究"/>
    <s v="鹿茸之研究"/>
    <s v="峰下鐵雄"/>
    <x v="1"/>
    <m/>
    <m/>
    <s v="https://jicheng.tw/tcm/book/%e9%b9%bf%e8%8c%b8%e4%b9%8b%e7%a0%94%e7%a9%b6/index.html"/>
  </r>
  <r>
    <x v="19"/>
    <x v="38"/>
    <x v="3"/>
    <s v="犀黄之研究"/>
    <s v="犀黃之研究"/>
    <s v="杉本重利"/>
    <x v="1"/>
    <m/>
    <m/>
    <s v="https://jicheng.tw/tcm/book/%e7%8a%80%e9%bb%83%e4%b9%8b%e7%a0%94%e7%a9%b6/index.html"/>
  </r>
  <r>
    <x v="19"/>
    <x v="38"/>
    <x v="3"/>
    <s v="中国薬一百種之化学実験"/>
    <s v="中國藥一百種之化學實驗"/>
    <s v="中尾萬三"/>
    <x v="11"/>
    <n v="1636"/>
    <m/>
    <s v="https://jicheng.tw/tcm/book/%e4%b8%ad%e5%9c%8b%e8%97%a5%e4%b8%80%e7%99%be%e7%a8%ae%e4%b9%8b%e5%8c%96%e5%ad%b8%e5%af%a6%e9%a9%97/index.html"/>
  </r>
  <r>
    <x v="19"/>
    <x v="38"/>
    <x v="3"/>
    <s v="漢薬良劣鑑別法"/>
    <s v="漢藥良劣鑑別法"/>
    <s v="一色直太郎"/>
    <x v="1"/>
    <m/>
    <m/>
    <s v="https://jicheng.tw/tcm/book/%e6%bc%a2%e8%97%a5%e8%89%af%e5%8a%a3%e9%91%91%e5%88%a5%e6%b3%95/index.html"/>
  </r>
  <r>
    <x v="19"/>
    <x v="38"/>
    <x v="3"/>
    <s v="日本医学史　＊中国医薬論文集"/>
    <s v="中國醫藥論文集"/>
    <s v="富士川遊"/>
    <x v="11"/>
    <n v="1636"/>
    <m/>
    <s v="https://jicheng.tw/tcm/book/%e4%b8%ad%e5%9c%8b%e9%86%ab%e8%97%a5%e8%ab%96%e6%96%87%e9%9b%86/index.htm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12" applyNumberFormats="0" applyBorderFormats="0" applyFontFormats="0" applyPatternFormats="0" applyAlignmentFormats="0" applyWidthHeightFormats="1" dataCaption="値" updatedVersion="4" minRefreshableVersion="3" useAutoFormatting="1" rowGrandTotals="0" colGrandTotals="0" itemPrintTitles="1" createdVersion="4" indent="0" compact="0" compactData="0" multipleFieldFilters="0">
  <location ref="A3:AD58" firstHeaderRow="1" firstDataRow="2" firstDataCol="3"/>
  <pivotFields count="10">
    <pivotField axis="axisRow" dataField="1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compact="0" outline="0" showAll="0" defaultSubtotal="0">
      <items count="39">
        <item x="31"/>
        <item x="32"/>
        <item x="33"/>
        <item x="34"/>
        <item x="35"/>
        <item x="24"/>
        <item x="20"/>
        <item x="36"/>
        <item x="37"/>
        <item x="25"/>
        <item x="38"/>
        <item x="26"/>
        <item x="27"/>
        <item x="19"/>
        <item x="13"/>
        <item x="14"/>
        <item x="15"/>
        <item x="16"/>
        <item x="7"/>
        <item x="8"/>
        <item x="9"/>
        <item x="10"/>
        <item x="3"/>
        <item x="4"/>
        <item x="5"/>
        <item x="6"/>
        <item x="22"/>
        <item x="21"/>
        <item x="0"/>
        <item x="1"/>
        <item x="2"/>
        <item x="17"/>
        <item x="18"/>
        <item x="28"/>
        <item x="11"/>
        <item x="29"/>
        <item x="12"/>
        <item x="23"/>
        <item x="30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33">
        <item x="8"/>
        <item x="0"/>
        <item x="18"/>
        <item x="12"/>
        <item x="21"/>
        <item x="20"/>
        <item x="16"/>
        <item x="13"/>
        <item x="10"/>
        <item m="1" x="31"/>
        <item m="1" x="28"/>
        <item m="1" x="29"/>
        <item m="1" x="32"/>
        <item m="1" x="30"/>
        <item x="19"/>
        <item x="14"/>
        <item x="17"/>
        <item x="23"/>
        <item x="24"/>
        <item x="7"/>
        <item x="15"/>
        <item x="2"/>
        <item x="6"/>
        <item x="9"/>
        <item x="4"/>
        <item x="22"/>
        <item x="5"/>
        <item x="3"/>
        <item x="26"/>
        <item x="25"/>
        <item x="11"/>
        <item x="1"/>
        <item m="1" x="27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54">
    <i>
      <x/>
      <x v="28"/>
      <x/>
    </i>
    <i r="2">
      <x v="1"/>
    </i>
    <i r="2">
      <x v="2"/>
    </i>
    <i r="1">
      <x v="29"/>
      <x v="3"/>
    </i>
    <i r="1">
      <x v="30"/>
      <x v="3"/>
    </i>
    <i>
      <x v="1"/>
      <x v="22"/>
      <x v="3"/>
    </i>
    <i r="1">
      <x v="23"/>
      <x v="3"/>
    </i>
    <i r="1">
      <x v="24"/>
      <x v="3"/>
    </i>
    <i r="1">
      <x v="25"/>
      <x v="3"/>
    </i>
    <i>
      <x v="2"/>
      <x v="18"/>
      <x v="3"/>
    </i>
    <i r="1">
      <x v="19"/>
      <x v="3"/>
    </i>
    <i r="1">
      <x v="20"/>
      <x v="3"/>
    </i>
    <i r="1">
      <x v="21"/>
      <x v="3"/>
    </i>
    <i r="1">
      <x v="34"/>
      <x v="3"/>
    </i>
    <i r="1">
      <x v="36"/>
      <x v="3"/>
    </i>
    <i>
      <x v="3"/>
      <x v="14"/>
      <x v="3"/>
    </i>
    <i r="1">
      <x v="15"/>
      <x v="3"/>
    </i>
    <i r="1">
      <x v="16"/>
      <x v="3"/>
    </i>
    <i r="1">
      <x v="17"/>
      <x v="3"/>
    </i>
    <i r="1">
      <x v="31"/>
      <x v="3"/>
    </i>
    <i r="1">
      <x v="32"/>
      <x v="3"/>
    </i>
    <i>
      <x v="4"/>
      <x v="22"/>
      <x v="3"/>
    </i>
    <i>
      <x v="5"/>
      <x v="6"/>
      <x v="3"/>
    </i>
    <i r="1">
      <x v="13"/>
      <x v="3"/>
    </i>
    <i r="1">
      <x v="27"/>
      <x v="3"/>
    </i>
    <i>
      <x v="6"/>
      <x v="22"/>
      <x v="3"/>
    </i>
    <i>
      <x v="7"/>
      <x v="22"/>
      <x v="3"/>
    </i>
    <i r="1">
      <x v="26"/>
      <x v="3"/>
    </i>
    <i>
      <x v="8"/>
      <x v="22"/>
      <x v="3"/>
    </i>
    <i r="1">
      <x v="37"/>
      <x v="3"/>
    </i>
    <i>
      <x v="9"/>
      <x v="22"/>
      <x v="3"/>
    </i>
    <i>
      <x v="10"/>
      <x v="22"/>
      <x v="3"/>
    </i>
    <i>
      <x v="11"/>
      <x v="22"/>
      <x v="3"/>
    </i>
    <i>
      <x v="12"/>
      <x v="5"/>
      <x v="3"/>
    </i>
    <i r="1">
      <x v="9"/>
      <x v="3"/>
    </i>
    <i r="1">
      <x v="11"/>
      <x v="3"/>
    </i>
    <i r="1">
      <x v="12"/>
      <x v="3"/>
    </i>
    <i>
      <x v="13"/>
      <x v="22"/>
      <x v="3"/>
    </i>
    <i r="1">
      <x v="33"/>
      <x v="3"/>
    </i>
    <i r="1">
      <x v="35"/>
      <x v="3"/>
    </i>
    <i r="1">
      <x v="38"/>
      <x v="3"/>
    </i>
    <i>
      <x v="14"/>
      <x v="22"/>
      <x v="3"/>
    </i>
    <i>
      <x v="15"/>
      <x v="22"/>
      <x v="3"/>
    </i>
    <i>
      <x v="16"/>
      <x v="22"/>
      <x v="3"/>
    </i>
    <i>
      <x v="17"/>
      <x v="22"/>
      <x v="3"/>
    </i>
    <i>
      <x v="18"/>
      <x v="22"/>
      <x v="3"/>
    </i>
    <i>
      <x v="19"/>
      <x/>
      <x v="3"/>
    </i>
    <i r="1">
      <x v="1"/>
      <x v="3"/>
    </i>
    <i r="1">
      <x v="2"/>
      <x v="3"/>
    </i>
    <i r="1">
      <x v="3"/>
      <x v="3"/>
    </i>
    <i r="1">
      <x v="4"/>
      <x v="3"/>
    </i>
    <i r="1">
      <x v="7"/>
      <x v="3"/>
    </i>
    <i r="1">
      <x v="8"/>
      <x v="3"/>
    </i>
    <i r="1">
      <x v="10"/>
      <x v="3"/>
    </i>
  </rowItems>
  <colFields count="1">
    <field x="6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</colItems>
  <dataFields count="1">
    <dataField name="データの個数 / 大分類" fld="0" subtotal="count" baseField="0" baseItem="0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icheng.tw/tcm/book/%E9%87%91%E5%8C%B1%E5%95%9F%E9%91%B0/%E7%9C%BC%E7%A7%91/index.html" TargetMode="External"/><Relationship Id="rId2" Type="http://schemas.openxmlformats.org/officeDocument/2006/relationships/hyperlink" Target="https://jicheng.tw/tcm/book/%E9%87%91%E5%8C%B1%E5%95%9F%E9%91%B0/%E5%B9%BC%E7%A7%91/index.html" TargetMode="External"/><Relationship Id="rId1" Type="http://schemas.openxmlformats.org/officeDocument/2006/relationships/hyperlink" Target="https://jicheng.tw/tcm/book/%E9%86%AB%E5%AE%97%E9%87%91%E9%91%91/%E8%A8%82%E6%AD%A3%E4%BB%B2%E6%99%AF%E5%85%A8%E6%9B%B8%E5%82%B7%E5%AF%92%E8%AB%96%E8%A8%BB/index.html" TargetMode="External"/><Relationship Id="rId4" Type="http://schemas.openxmlformats.org/officeDocument/2006/relationships/hyperlink" Target="https://jicheng.tw/tcm/book/%E6%A0%A1%E8%A8%BB%E5%A9%A6%E4%BA%BA%E8%89%AF%E6%96%B9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8"/>
  <sheetViews>
    <sheetView tabSelected="1" zoomScale="85" zoomScaleNormal="85" workbookViewId="0">
      <pane ySplit="1" topLeftCell="A1197" activePane="bottomLeft" state="frozen"/>
      <selection pane="bottomLeft" activeCell="B1212" sqref="B1212"/>
    </sheetView>
  </sheetViews>
  <sheetFormatPr defaultRowHeight="18"/>
  <cols>
    <col min="1" max="1" width="14.6640625" style="9" bestFit="1" customWidth="1"/>
    <col min="2" max="2" width="15.75" style="9" bestFit="1" customWidth="1"/>
    <col min="3" max="3" width="9.4140625" style="9" bestFit="1" customWidth="1"/>
    <col min="4" max="4" width="29.58203125" customWidth="1"/>
    <col min="5" max="5" width="27.75" customWidth="1"/>
    <col min="6" max="6" width="15.75" customWidth="1"/>
    <col min="7" max="7" width="10.1640625" style="14" bestFit="1" customWidth="1"/>
    <col min="8" max="8" width="10.75" style="14" bestFit="1" customWidth="1"/>
    <col min="9" max="9" width="24.58203125" customWidth="1"/>
    <col min="10" max="10" width="29.83203125" customWidth="1"/>
  </cols>
  <sheetData>
    <row r="1" spans="1:10">
      <c r="A1" s="8" t="s">
        <v>2473</v>
      </c>
      <c r="B1" s="8" t="s">
        <v>2475</v>
      </c>
      <c r="C1" s="8" t="s">
        <v>2476</v>
      </c>
      <c r="D1" s="6" t="s">
        <v>2337</v>
      </c>
      <c r="E1" s="6" t="s">
        <v>2338</v>
      </c>
      <c r="F1" s="6" t="s">
        <v>2678</v>
      </c>
      <c r="G1" s="6" t="s">
        <v>2508</v>
      </c>
      <c r="H1" s="6" t="s">
        <v>2336</v>
      </c>
      <c r="I1" s="6" t="s">
        <v>2479</v>
      </c>
      <c r="J1" s="5" t="s">
        <v>2339</v>
      </c>
    </row>
    <row r="2" spans="1:10">
      <c r="A2" s="10" t="s">
        <v>1384</v>
      </c>
      <c r="B2" s="10" t="s">
        <v>1385</v>
      </c>
      <c r="C2" s="10" t="s">
        <v>1</v>
      </c>
      <c r="D2" t="s">
        <v>1386</v>
      </c>
      <c r="E2" t="s">
        <v>2</v>
      </c>
      <c r="G2" s="14" t="s">
        <v>2497</v>
      </c>
      <c r="J2" t="str">
        <f>HYPERLINK("https://jicheng.tw/tcm/book/%e9%bb%83%e5%b8%9d%e5%85%a7%e7%b6%93%e7%b4%a0%e5%95%8f/index.html")</f>
        <v>https://jicheng.tw/tcm/book/%e9%bb%83%e5%b8%9d%e5%85%a7%e7%b6%93%e7%b4%a0%e5%95%8f/index.html</v>
      </c>
    </row>
    <row r="3" spans="1:10">
      <c r="A3" s="10" t="s">
        <v>1384</v>
      </c>
      <c r="B3" s="10" t="s">
        <v>1385</v>
      </c>
      <c r="C3" s="10" t="s">
        <v>1</v>
      </c>
      <c r="D3" t="s">
        <v>1387</v>
      </c>
      <c r="E3" t="s">
        <v>3</v>
      </c>
      <c r="J3" t="str">
        <f>HYPERLINK("https://jicheng.tw/tcm/book/%e9%bb%83%e5%b8%9d%e5%85%a7%e7%b6%93%e7%b4%a0%e5%95%8f%5f%e6%a2%9d%e5%88%97%e7%89%88/index.html")</f>
        <v>https://jicheng.tw/tcm/book/%e9%bb%83%e5%b8%9d%e5%85%a7%e7%b6%93%e7%b4%a0%e5%95%8f%5f%e6%a2%9d%e5%88%97%e7%89%88/index.html</v>
      </c>
    </row>
    <row r="4" spans="1:10">
      <c r="A4" s="10" t="s">
        <v>1384</v>
      </c>
      <c r="B4" s="10" t="s">
        <v>1385</v>
      </c>
      <c r="C4" s="10" t="s">
        <v>1</v>
      </c>
      <c r="D4" t="s">
        <v>1388</v>
      </c>
      <c r="E4" t="s">
        <v>4</v>
      </c>
      <c r="G4" s="14" t="s">
        <v>2496</v>
      </c>
      <c r="H4" s="14" t="s">
        <v>2486</v>
      </c>
      <c r="J4" t="str">
        <f>HYPERLINK("https://jicheng.tw/tcm/book/%e9%bb%83%e5%b8%9d%e5%85%a7%e7%b6%93%e7%b4%a0%e5%95%8f%e9%81%ba%e7%af%87%5f%31/index.html")</f>
        <v>https://jicheng.tw/tcm/book/%e9%bb%83%e5%b8%9d%e5%85%a7%e7%b6%93%e7%b4%a0%e5%95%8f%e9%81%ba%e7%af%87%5f%31/index.html</v>
      </c>
    </row>
    <row r="5" spans="1:10">
      <c r="A5" s="10" t="s">
        <v>1384</v>
      </c>
      <c r="B5" s="10" t="s">
        <v>1385</v>
      </c>
      <c r="C5" s="10" t="s">
        <v>1</v>
      </c>
      <c r="D5" t="s">
        <v>2335</v>
      </c>
      <c r="E5" t="s">
        <v>5</v>
      </c>
      <c r="G5" s="14" t="s">
        <v>2497</v>
      </c>
      <c r="J5" s="4" t="str">
        <f>HYPERLINK("https://jicheng.tw/tcm/book/%e9%87%8d%e5%bb%a3%e8%a3%9c%e6%b3%a8%e9%bb%83%e5%b8%9d%e5%85%a7%e7%b6%93%e7%b4%a0%e5%95%8f/index.html")</f>
        <v>https://jicheng.tw/tcm/book/%e9%87%8d%e5%bb%a3%e8%a3%9c%e6%b3%a8%e9%bb%83%e5%b8%9d%e5%85%a7%e7%b6%93%e7%b4%a0%e5%95%8f/index.html</v>
      </c>
    </row>
    <row r="6" spans="1:10">
      <c r="A6" s="10" t="s">
        <v>1384</v>
      </c>
      <c r="B6" s="10" t="s">
        <v>1385</v>
      </c>
      <c r="C6" s="10" t="s">
        <v>1</v>
      </c>
      <c r="D6" t="s">
        <v>1389</v>
      </c>
      <c r="E6" t="s">
        <v>6</v>
      </c>
      <c r="J6" t="str">
        <f>HYPERLINK("https://jicheng.tw/tcm/book/%e9%bb%83%e5%b8%9d%e5%85%a7%e7%b6%93%e7%b4%a0%e5%95%8f%e8%a3%9c%e8%a8%bb%e9%87%8b%e6%96%87/index.html")</f>
        <v>https://jicheng.tw/tcm/book/%e9%bb%83%e5%b8%9d%e5%85%a7%e7%b6%93%e7%b4%a0%e5%95%8f%e8%a3%9c%e8%a8%bb%e9%87%8b%e6%96%87/index.html</v>
      </c>
    </row>
    <row r="7" spans="1:10">
      <c r="A7" s="10" t="s">
        <v>1384</v>
      </c>
      <c r="B7" s="10" t="s">
        <v>1385</v>
      </c>
      <c r="C7" s="10" t="s">
        <v>1</v>
      </c>
      <c r="D7" t="s">
        <v>1390</v>
      </c>
      <c r="E7" t="s">
        <v>7</v>
      </c>
      <c r="F7" t="s">
        <v>2403</v>
      </c>
      <c r="G7" s="14" t="s">
        <v>2509</v>
      </c>
      <c r="H7" s="14">
        <v>1677</v>
      </c>
      <c r="J7" t="str">
        <f>HYPERLINK("https://jicheng.tw/tcm/book/%e7%b4%a0%e5%95%8f%e7%b6%93%e6%b3%a8%e7%af%80%e8%a7%a3/index.html")</f>
        <v>https://jicheng.tw/tcm/book/%e7%b4%a0%e5%95%8f%e7%b6%93%e6%b3%a8%e7%af%80%e8%a7%a3/index.html</v>
      </c>
    </row>
    <row r="8" spans="1:10">
      <c r="A8" s="10" t="s">
        <v>1384</v>
      </c>
      <c r="B8" s="10" t="s">
        <v>1385</v>
      </c>
      <c r="C8" s="10" t="s">
        <v>1</v>
      </c>
      <c r="D8" t="s">
        <v>1391</v>
      </c>
      <c r="E8" t="s">
        <v>8</v>
      </c>
      <c r="F8" t="s">
        <v>2402</v>
      </c>
      <c r="G8" s="14" t="s">
        <v>2509</v>
      </c>
      <c r="H8" s="14">
        <v>1880</v>
      </c>
      <c r="J8" t="str">
        <f>HYPERLINK("https://jicheng.tw/tcm/book/%e9%bb%83%e5%b8%9d%e5%85%a7%e7%b6%93%e7%b4%a0%e5%95%8f%e6%a0%a1%e7%be%a9/index.html")</f>
        <v>https://jicheng.tw/tcm/book/%e9%bb%83%e5%b8%9d%e5%85%a7%e7%b6%93%e7%b4%a0%e5%95%8f%e6%a0%a1%e7%be%a9/index.html</v>
      </c>
    </row>
    <row r="9" spans="1:10">
      <c r="A9" s="10" t="s">
        <v>1384</v>
      </c>
      <c r="B9" s="10" t="s">
        <v>1385</v>
      </c>
      <c r="C9" s="10" t="s">
        <v>1</v>
      </c>
      <c r="D9" t="s">
        <v>1392</v>
      </c>
      <c r="E9" t="s">
        <v>9</v>
      </c>
      <c r="F9" t="s">
        <v>2404</v>
      </c>
      <c r="G9" s="14" t="s">
        <v>2509</v>
      </c>
      <c r="H9" s="14">
        <v>1695</v>
      </c>
      <c r="J9" t="str">
        <f>HYPERLINK("https://jicheng.tw/tcm/book/%e9%bb%83%e5%b8%9d%e7%b4%a0%e5%95%8f%e7%9b%b4%e8%a7%a3/index.html")</f>
        <v>https://jicheng.tw/tcm/book/%e9%bb%83%e5%b8%9d%e7%b4%a0%e5%95%8f%e7%9b%b4%e8%a7%a3/index.html</v>
      </c>
    </row>
    <row r="10" spans="1:10">
      <c r="A10" s="10" t="s">
        <v>1384</v>
      </c>
      <c r="B10" s="10" t="s">
        <v>1385</v>
      </c>
      <c r="C10" s="10" t="s">
        <v>1</v>
      </c>
      <c r="D10" t="s">
        <v>1393</v>
      </c>
      <c r="E10" t="s">
        <v>10</v>
      </c>
      <c r="F10" t="s">
        <v>2401</v>
      </c>
      <c r="G10" s="14" t="s">
        <v>2509</v>
      </c>
      <c r="H10" s="14">
        <v>1670</v>
      </c>
      <c r="J10" t="str">
        <f>HYPERLINK("https://jicheng.tw/tcm/book/%e9%bb%83%e5%b8%9d%e5%85%a7%e7%b6%93%e7%b4%a0%e5%95%8f%e9%9b%86%e8%a8%bb/index.html")</f>
        <v>https://jicheng.tw/tcm/book/%e9%bb%83%e5%b8%9d%e5%85%a7%e7%b6%93%e7%b4%a0%e5%95%8f%e9%9b%86%e8%a8%bb/index.html</v>
      </c>
    </row>
    <row r="11" spans="1:10">
      <c r="A11" s="10" t="s">
        <v>1384</v>
      </c>
      <c r="B11" s="10" t="s">
        <v>1385</v>
      </c>
      <c r="C11" s="10" t="s">
        <v>1</v>
      </c>
      <c r="D11" t="s">
        <v>1394</v>
      </c>
      <c r="E11" t="s">
        <v>11</v>
      </c>
      <c r="F11" t="s">
        <v>2401</v>
      </c>
      <c r="G11" s="14" t="s">
        <v>2509</v>
      </c>
      <c r="H11" s="14">
        <v>1672</v>
      </c>
      <c r="J11" t="str">
        <f>HYPERLINK("https://jicheng.tw/tcm/book/%e9%bb%83%e5%b8%9d%e7%b6%93%e4%b8%96%e7%b4%a0%e5%95%8f%e5%90%88%e7%b7%a8/index.html")</f>
        <v>https://jicheng.tw/tcm/book/%e9%bb%83%e5%b8%9d%e7%b6%93%e4%b8%96%e7%b4%a0%e5%95%8f%e5%90%88%e7%b7%a8/index.html</v>
      </c>
    </row>
    <row r="12" spans="1:10">
      <c r="A12" s="10" t="s">
        <v>1384</v>
      </c>
      <c r="B12" s="10" t="s">
        <v>1385</v>
      </c>
      <c r="C12" s="10" t="s">
        <v>1</v>
      </c>
      <c r="D12" t="s">
        <v>12</v>
      </c>
      <c r="E12" t="s">
        <v>12</v>
      </c>
      <c r="F12" t="s">
        <v>2376</v>
      </c>
      <c r="G12" s="14" t="s">
        <v>2509</v>
      </c>
      <c r="H12" s="14">
        <v>1806</v>
      </c>
      <c r="J12" t="str">
        <f>HYPERLINK("https://jicheng.tw/tcm/book/%e7%b4%a0%e5%95%8f%e8%ad%98/index.html")</f>
        <v>https://jicheng.tw/tcm/book/%e7%b4%a0%e5%95%8f%e8%ad%98/index.html</v>
      </c>
    </row>
    <row r="13" spans="1:10">
      <c r="A13" s="10" t="s">
        <v>1384</v>
      </c>
      <c r="B13" s="10" t="s">
        <v>1385</v>
      </c>
      <c r="C13" s="10" t="s">
        <v>1</v>
      </c>
      <c r="D13" t="s">
        <v>1395</v>
      </c>
      <c r="E13" t="s">
        <v>13</v>
      </c>
      <c r="F13" t="s">
        <v>2382</v>
      </c>
      <c r="G13" s="14" t="s">
        <v>2503</v>
      </c>
      <c r="H13" s="14">
        <v>1526</v>
      </c>
      <c r="J13" t="str">
        <f>HYPERLINK("https://jicheng.tw/tcm/book/%e8%ae%80%e7%b4%a0%e5%95%8f%e9%88%94/index.html")</f>
        <v>https://jicheng.tw/tcm/book/%e8%ae%80%e7%b4%a0%e5%95%8f%e9%88%94/index.html</v>
      </c>
    </row>
    <row r="14" spans="1:10">
      <c r="A14" s="10" t="s">
        <v>1384</v>
      </c>
      <c r="B14" s="10" t="s">
        <v>1385</v>
      </c>
      <c r="C14" s="10" t="s">
        <v>1</v>
      </c>
      <c r="D14" t="s">
        <v>14</v>
      </c>
      <c r="E14" t="s">
        <v>14</v>
      </c>
      <c r="F14" t="s">
        <v>2487</v>
      </c>
      <c r="G14" s="14" t="s">
        <v>2498</v>
      </c>
      <c r="J14" t="str">
        <f>HYPERLINK("https://jicheng.tw/tcm/book/%e7%b4%a0%e5%95%8f%e7%b4%b9%e8%ad%98/index.html")</f>
        <v>https://jicheng.tw/tcm/book/%e7%b4%a0%e5%95%8f%e7%b4%b9%e8%ad%98/index.html</v>
      </c>
    </row>
    <row r="15" spans="1:10">
      <c r="A15" s="10" t="s">
        <v>1384</v>
      </c>
      <c r="B15" s="10" t="s">
        <v>1385</v>
      </c>
      <c r="C15" s="10" t="s">
        <v>1</v>
      </c>
      <c r="D15" t="s">
        <v>15</v>
      </c>
      <c r="E15" t="s">
        <v>15</v>
      </c>
      <c r="F15" t="s">
        <v>2387</v>
      </c>
      <c r="G15" s="14" t="s">
        <v>2498</v>
      </c>
      <c r="H15" s="14">
        <v>1756</v>
      </c>
      <c r="J15" t="str">
        <f>HYPERLINK("https://jicheng.tw/tcm/book/%e7%b4%a0%e5%95%8f%e6%87%b8%e8%a7%a3/index.html")</f>
        <v>https://jicheng.tw/tcm/book/%e7%b4%a0%e5%95%8f%e6%87%b8%e8%a7%a3/index.html</v>
      </c>
    </row>
    <row r="16" spans="1:10">
      <c r="A16" s="10" t="s">
        <v>1384</v>
      </c>
      <c r="B16" s="10" t="s">
        <v>1385</v>
      </c>
      <c r="C16" s="10" t="s">
        <v>1</v>
      </c>
      <c r="D16" t="s">
        <v>1396</v>
      </c>
      <c r="E16" t="s">
        <v>16</v>
      </c>
      <c r="F16" t="s">
        <v>2379</v>
      </c>
      <c r="G16" s="14" t="s">
        <v>2495</v>
      </c>
      <c r="H16" s="14">
        <v>1594</v>
      </c>
      <c r="J16" t="str">
        <f>HYPERLINK("https://jicheng.tw/tcm/book/%e7%b4%a0%e5%95%8f%e5%90%b3%e8%a8%bb/index.html")</f>
        <v>https://jicheng.tw/tcm/book/%e7%b4%a0%e5%95%8f%e5%90%b3%e8%a8%bb/index.html</v>
      </c>
    </row>
    <row r="17" spans="1:10">
      <c r="A17" s="10" t="s">
        <v>1384</v>
      </c>
      <c r="B17" s="10" t="s">
        <v>1385</v>
      </c>
      <c r="C17" s="10" t="s">
        <v>1</v>
      </c>
      <c r="D17" t="s">
        <v>17</v>
      </c>
      <c r="E17" t="s">
        <v>17</v>
      </c>
      <c r="F17" t="s">
        <v>2405</v>
      </c>
      <c r="G17" s="14" t="s">
        <v>2511</v>
      </c>
      <c r="H17" s="14" t="s">
        <v>2488</v>
      </c>
      <c r="J17" t="str">
        <f>HYPERLINK("https://jicheng.tw/tcm/book/%e7%b4%a0%e5%95%8f%e8%a6%81%e6%97%a8%e8%ab%96/index.html")</f>
        <v>https://jicheng.tw/tcm/book/%e7%b4%a0%e5%95%8f%e8%a6%81%e6%97%a8%e8%ab%96/index.html</v>
      </c>
    </row>
    <row r="18" spans="1:10">
      <c r="A18" s="10" t="s">
        <v>1384</v>
      </c>
      <c r="B18" s="10" t="s">
        <v>1385</v>
      </c>
      <c r="C18" s="10" t="s">
        <v>1</v>
      </c>
      <c r="D18" t="s">
        <v>18</v>
      </c>
      <c r="E18" t="s">
        <v>18</v>
      </c>
      <c r="F18" t="s">
        <v>2405</v>
      </c>
      <c r="G18" s="14" t="s">
        <v>2511</v>
      </c>
      <c r="H18" s="14" t="s">
        <v>2488</v>
      </c>
      <c r="J18" t="str">
        <f>HYPERLINK("https://jicheng.tw/tcm/book/%e7%b4%a0%e5%95%8f%e8%a6%81%e6%97%a8%e8%ab%96%5f%31/index.html")</f>
        <v>https://jicheng.tw/tcm/book/%e7%b4%a0%e5%95%8f%e8%a6%81%e6%97%a8%e8%ab%96%5f%31/index.html</v>
      </c>
    </row>
    <row r="19" spans="1:10">
      <c r="A19" s="10" t="s">
        <v>1384</v>
      </c>
      <c r="B19" s="10" t="s">
        <v>1385</v>
      </c>
      <c r="C19" s="10" t="s">
        <v>1</v>
      </c>
      <c r="D19" t="s">
        <v>1397</v>
      </c>
      <c r="E19" t="s">
        <v>19</v>
      </c>
      <c r="F19" t="s">
        <v>2415</v>
      </c>
      <c r="G19" s="14" t="s">
        <v>2512</v>
      </c>
      <c r="H19" s="14" t="s">
        <v>2489</v>
      </c>
      <c r="J19" t="str">
        <f>HYPERLINK("https://jicheng.tw/tcm/book/%e7%b4%a0%e5%95%8f%e5%85%ad%e6%b0%a3%e7%8e%84%e7%8f%a0%e5%af%86%e8%aa%9e/index.html")</f>
        <v>https://jicheng.tw/tcm/book/%e7%b4%a0%e5%95%8f%e5%85%ad%e6%b0%a3%e7%8e%84%e7%8f%a0%e5%af%86%e8%aa%9e/index.html</v>
      </c>
    </row>
    <row r="20" spans="1:10">
      <c r="A20" s="10" t="s">
        <v>1384</v>
      </c>
      <c r="B20" s="10" t="s">
        <v>1385</v>
      </c>
      <c r="C20" s="10" t="s">
        <v>1</v>
      </c>
      <c r="D20" t="s">
        <v>1398</v>
      </c>
      <c r="E20" t="s">
        <v>20</v>
      </c>
      <c r="F20" t="s">
        <v>2405</v>
      </c>
      <c r="G20" s="14" t="s">
        <v>2510</v>
      </c>
      <c r="H20" s="14">
        <v>1188</v>
      </c>
      <c r="J20" t="str">
        <f>HYPERLINK("https://jicheng.tw/tcm/book/%e7%b4%a0%e5%95%8f%e7%97%85%e6%a9%9f%e6%b0%a3%e5%ae%9c%e4%bf%9d%e5%91%bd%e9%9b%86/index.html")</f>
        <v>https://jicheng.tw/tcm/book/%e7%b4%a0%e5%95%8f%e7%97%85%e6%a9%9f%e6%b0%a3%e5%ae%9c%e4%bf%9d%e5%91%bd%e9%9b%86/index.html</v>
      </c>
    </row>
    <row r="21" spans="1:10">
      <c r="A21" s="10" t="s">
        <v>1384</v>
      </c>
      <c r="B21" s="10" t="s">
        <v>1385</v>
      </c>
      <c r="C21" s="10" t="s">
        <v>1</v>
      </c>
      <c r="D21" t="s">
        <v>1399</v>
      </c>
      <c r="E21" t="s">
        <v>21</v>
      </c>
      <c r="F21" t="s">
        <v>2405</v>
      </c>
      <c r="G21" s="14" t="s">
        <v>2510</v>
      </c>
      <c r="H21" s="14">
        <v>1188</v>
      </c>
      <c r="J21" t="str">
        <f>HYPERLINK("https://jicheng.tw/tcm/book/%e7%b4%a0%e5%95%8f%e7%97%85%e6%a9%9f%e6%b0%a3%e5%ae%9c%e4%bf%9d%e5%91%bd%e9%9b%86%5f%31/index.html")</f>
        <v>https://jicheng.tw/tcm/book/%e7%b4%a0%e5%95%8f%e7%97%85%e6%a9%9f%e6%b0%a3%e5%ae%9c%e4%bf%9d%e5%91%bd%e9%9b%86%5f%31/index.html</v>
      </c>
    </row>
    <row r="22" spans="1:10">
      <c r="A22" s="10" t="s">
        <v>1384</v>
      </c>
      <c r="B22" s="10" t="s">
        <v>1385</v>
      </c>
      <c r="C22" s="10" t="s">
        <v>1</v>
      </c>
      <c r="D22" t="s">
        <v>1400</v>
      </c>
      <c r="E22" t="s">
        <v>22</v>
      </c>
      <c r="F22" t="s">
        <v>2368</v>
      </c>
      <c r="G22" s="14" t="s">
        <v>2498</v>
      </c>
      <c r="H22" s="14">
        <v>1742</v>
      </c>
      <c r="J22" s="4" t="str">
        <f>HYPERLINK("https://jicheng.tw/tcm/book/%E9%86%AB%E5%AE%97%E9%87%91%E9%91%91/%E9%81%8B%E6%B0%A3%E8%A6%81%E8%A8%A3/index.html")</f>
        <v>https://jicheng.tw/tcm/book/%E9%86%AB%E5%AE%97%E9%87%91%E9%91%91/%E9%81%8B%E6%B0%A3%E8%A6%81%E8%A8%A3/index.html</v>
      </c>
    </row>
    <row r="23" spans="1:10">
      <c r="A23" s="10" t="s">
        <v>1384</v>
      </c>
      <c r="B23" s="10" t="s">
        <v>1385</v>
      </c>
      <c r="C23" s="10" t="s">
        <v>1</v>
      </c>
      <c r="D23" t="s">
        <v>1401</v>
      </c>
      <c r="E23" t="s">
        <v>23</v>
      </c>
      <c r="F23" t="s">
        <v>2416</v>
      </c>
      <c r="G23" s="14" t="s">
        <v>2498</v>
      </c>
      <c r="J23" t="str">
        <f>HYPERLINK("https://jicheng.tw/tcm/book/%e9%81%8b%e6%b0%a3%e8%ad%89%e6%b2%bb%e6%ad%8c%e8%a8%a3/index.html")</f>
        <v>https://jicheng.tw/tcm/book/%e9%81%8b%e6%b0%a3%e8%ad%89%e6%b2%bb%e6%ad%8c%e8%a8%a3/index.html</v>
      </c>
    </row>
    <row r="24" spans="1:10">
      <c r="A24" s="10" t="s">
        <v>1384</v>
      </c>
      <c r="B24" s="10" t="s">
        <v>1385</v>
      </c>
      <c r="C24" s="10" t="s">
        <v>1</v>
      </c>
      <c r="D24" t="s">
        <v>24</v>
      </c>
      <c r="E24" t="s">
        <v>24</v>
      </c>
      <c r="F24" t="s">
        <v>2407</v>
      </c>
      <c r="G24" s="14" t="s">
        <v>2495</v>
      </c>
      <c r="H24" s="14">
        <v>1592</v>
      </c>
      <c r="J24" t="str">
        <f>HYPERLINK("https://jicheng.tw/tcm/book/%e7%b4%a0%e5%95%8f%e5%bf%83%e5%be%97/index.html")</f>
        <v>https://jicheng.tw/tcm/book/%e7%b4%a0%e5%95%8f%e5%bf%83%e5%be%97/index.html</v>
      </c>
    </row>
    <row r="25" spans="1:10">
      <c r="A25" s="10" t="s">
        <v>1384</v>
      </c>
      <c r="B25" s="10" t="s">
        <v>1385</v>
      </c>
      <c r="C25" s="10" t="s">
        <v>1</v>
      </c>
      <c r="D25" t="s">
        <v>25</v>
      </c>
      <c r="E25" t="s">
        <v>25</v>
      </c>
      <c r="F25" t="s">
        <v>2417</v>
      </c>
      <c r="J25" t="str">
        <f>HYPERLINK("https://jicheng.tw/tcm/book/%e7%b4%a0%e5%95%8f%e8%a8%98%e8%81%9e/index.html")</f>
        <v>https://jicheng.tw/tcm/book/%e7%b4%a0%e5%95%8f%e8%a8%98%e8%81%9e/index.html</v>
      </c>
    </row>
    <row r="26" spans="1:10">
      <c r="A26" s="10" t="s">
        <v>1384</v>
      </c>
      <c r="B26" s="10" t="s">
        <v>1385</v>
      </c>
      <c r="C26" s="10" t="s">
        <v>1</v>
      </c>
      <c r="D26" t="s">
        <v>1402</v>
      </c>
      <c r="E26" t="s">
        <v>26</v>
      </c>
      <c r="F26" t="s">
        <v>2418</v>
      </c>
      <c r="G26" s="14" t="s">
        <v>2496</v>
      </c>
      <c r="H26" s="14">
        <v>1099</v>
      </c>
      <c r="J26" t="str">
        <f>HYPERLINK("https://jicheng.tw/tcm/book/%e7%b4%a0%e5%95%8f%e5%85%a5%e5%bc%8f%e9%81%8b%e6%b0%a3%e8%ab%96%e5%a5%a7/index.html")</f>
        <v>https://jicheng.tw/tcm/book/%e7%b4%a0%e5%95%8f%e5%85%a5%e5%bc%8f%e9%81%8b%e6%b0%a3%e8%ab%96%e5%a5%a7/index.html</v>
      </c>
    </row>
    <row r="27" spans="1:10">
      <c r="A27" s="10" t="s">
        <v>1384</v>
      </c>
      <c r="B27" s="10" t="s">
        <v>1385</v>
      </c>
      <c r="C27" s="10" t="s">
        <v>1403</v>
      </c>
      <c r="D27" t="s">
        <v>1403</v>
      </c>
      <c r="E27" t="s">
        <v>27</v>
      </c>
      <c r="G27" s="14" t="s">
        <v>2500</v>
      </c>
      <c r="J27" t="str">
        <f>HYPERLINK("https://jicheng.tw/tcm/book/%e9%9d%88%e6%a8%9e/index.html")</f>
        <v>https://jicheng.tw/tcm/book/%e9%9d%88%e6%a8%9e/index.html</v>
      </c>
    </row>
    <row r="28" spans="1:10">
      <c r="A28" s="10" t="s">
        <v>1384</v>
      </c>
      <c r="B28" s="10" t="s">
        <v>1385</v>
      </c>
      <c r="C28" s="10" t="s">
        <v>1403</v>
      </c>
      <c r="D28" t="s">
        <v>1404</v>
      </c>
      <c r="E28" t="s">
        <v>28</v>
      </c>
      <c r="J28" t="str">
        <f>HYPERLINK("https://jicheng.tw/tcm/book/%e9%9d%88%e6%a8%9e%5f%e6%a2%9d%e5%88%97%e7%89%88/index.html")</f>
        <v>https://jicheng.tw/tcm/book/%e9%9d%88%e6%a8%9e%5f%e6%a2%9d%e5%88%97%e7%89%88/index.html</v>
      </c>
    </row>
    <row r="29" spans="1:10">
      <c r="A29" s="10" t="s">
        <v>1384</v>
      </c>
      <c r="B29" s="10" t="s">
        <v>1385</v>
      </c>
      <c r="C29" s="10" t="s">
        <v>1403</v>
      </c>
      <c r="D29" t="s">
        <v>1405</v>
      </c>
      <c r="E29" t="s">
        <v>29</v>
      </c>
      <c r="F29" t="s">
        <v>2401</v>
      </c>
      <c r="G29" s="14" t="s">
        <v>2498</v>
      </c>
      <c r="H29" s="14">
        <v>1672</v>
      </c>
      <c r="J29" t="str">
        <f>HYPERLINK("https://jicheng.tw/tcm/book/%e9%bb%83%e5%b8%9d%e5%85%a7%e7%b6%93%e9%9d%88%e6%a8%9e%e9%9b%86%e8%a8%bb/index.html")</f>
        <v>https://jicheng.tw/tcm/book/%e9%bb%83%e5%b8%9d%e5%85%a7%e7%b6%93%e9%9d%88%e6%a8%9e%e9%9b%86%e8%a8%bb/index.html</v>
      </c>
    </row>
    <row r="30" spans="1:10">
      <c r="A30" s="10" t="s">
        <v>1384</v>
      </c>
      <c r="B30" s="10" t="s">
        <v>1385</v>
      </c>
      <c r="C30" s="10" t="s">
        <v>1403</v>
      </c>
      <c r="D30" t="s">
        <v>1406</v>
      </c>
      <c r="E30" t="s">
        <v>30</v>
      </c>
      <c r="F30" t="s">
        <v>2376</v>
      </c>
      <c r="H30" s="14">
        <v>1808</v>
      </c>
      <c r="J30" t="str">
        <f>HYPERLINK("https://jicheng.tw/tcm/book/%e9%9d%88%e6%a8%9e%e8%ad%98/index.html")</f>
        <v>https://jicheng.tw/tcm/book/%e9%9d%88%e6%a8%9e%e8%ad%98/index.html</v>
      </c>
    </row>
    <row r="31" spans="1:10">
      <c r="A31" s="10" t="s">
        <v>1384</v>
      </c>
      <c r="B31" s="10" t="s">
        <v>1385</v>
      </c>
      <c r="C31" s="10" t="s">
        <v>1403</v>
      </c>
      <c r="D31" t="s">
        <v>1407</v>
      </c>
      <c r="E31" t="s">
        <v>31</v>
      </c>
      <c r="F31" t="s">
        <v>2387</v>
      </c>
      <c r="G31" s="14" t="s">
        <v>2498</v>
      </c>
      <c r="H31" s="14">
        <v>1756</v>
      </c>
      <c r="J31" t="str">
        <f>HYPERLINK("https://jicheng.tw/tcm/book/%e9%9d%88%e6%a8%9e%e6%87%b8%e8%a7%a3/index.html")</f>
        <v>https://jicheng.tw/tcm/book/%e9%9d%88%e6%a8%9e%e6%87%b8%e8%a7%a3/index.html</v>
      </c>
    </row>
    <row r="32" spans="1:10">
      <c r="A32" s="10" t="s">
        <v>1384</v>
      </c>
      <c r="B32" s="10" t="s">
        <v>1385</v>
      </c>
      <c r="C32" s="10" t="s">
        <v>1403</v>
      </c>
      <c r="D32" t="s">
        <v>1408</v>
      </c>
      <c r="E32" t="s">
        <v>32</v>
      </c>
      <c r="F32" t="s">
        <v>2400</v>
      </c>
      <c r="G32" s="14" t="s">
        <v>2495</v>
      </c>
      <c r="H32" s="14">
        <v>1592</v>
      </c>
      <c r="J32" t="str">
        <f>HYPERLINK("https://jicheng.tw/tcm/book/%e9%9d%88%e6%a8%9e%e5%bf%83%e5%be%97/index.html")</f>
        <v>https://jicheng.tw/tcm/book/%e9%9d%88%e6%a8%9e%e5%bf%83%e5%be%97/index.html</v>
      </c>
    </row>
    <row r="33" spans="1:10">
      <c r="A33" s="10" t="s">
        <v>1384</v>
      </c>
      <c r="B33" s="10" t="s">
        <v>1385</v>
      </c>
      <c r="C33" s="10" t="s">
        <v>1403</v>
      </c>
      <c r="D33" t="s">
        <v>1409</v>
      </c>
      <c r="E33" t="s">
        <v>33</v>
      </c>
      <c r="I33" t="s">
        <v>2432</v>
      </c>
      <c r="J33" t="str">
        <f>HYPERLINK("https://jicheng.tw/tcm/book/%e9%bb%83%e5%b8%9d%e5%85%a7%e7%b6%93%e9%9d%88%e6%a8%9e%e7%95%a5/index.html")</f>
        <v>https://jicheng.tw/tcm/book/%e9%bb%83%e5%b8%9d%e5%85%a7%e7%b6%93%e9%9d%88%e6%a8%9e%e7%95%a5/index.html</v>
      </c>
    </row>
    <row r="34" spans="1:10">
      <c r="A34" s="10" t="s">
        <v>1384</v>
      </c>
      <c r="B34" s="10" t="s">
        <v>1385</v>
      </c>
      <c r="C34" s="10" t="s">
        <v>1403</v>
      </c>
      <c r="D34" t="s">
        <v>1410</v>
      </c>
      <c r="E34" t="s">
        <v>34</v>
      </c>
      <c r="F34" t="s">
        <v>2399</v>
      </c>
      <c r="G34" s="14" t="s">
        <v>2352</v>
      </c>
      <c r="J34" t="str">
        <f>HYPERLINK("https://jicheng.tw/tcm/book/%e9%bb%83%e5%b8%9d%e7%b4%a0%e5%95%8f%e9%9d%88%e6%a8%9e%e9%9b%86%e8%a8%bb/index.html")</f>
        <v>https://jicheng.tw/tcm/book/%e9%bb%83%e5%b8%9d%e7%b4%a0%e5%95%8f%e9%9d%88%e6%a8%9e%e9%9b%86%e8%a8%bb/index.html</v>
      </c>
    </row>
    <row r="35" spans="1:10">
      <c r="A35" s="10" t="s">
        <v>1384</v>
      </c>
      <c r="B35" s="10" t="s">
        <v>1385</v>
      </c>
      <c r="C35" s="10" t="s">
        <v>35</v>
      </c>
      <c r="D35" t="s">
        <v>1411</v>
      </c>
      <c r="E35" t="s">
        <v>36</v>
      </c>
      <c r="F35" t="s">
        <v>2393</v>
      </c>
      <c r="G35" s="14" t="s">
        <v>2512</v>
      </c>
      <c r="H35" s="14">
        <v>618</v>
      </c>
      <c r="J35" t="str">
        <f>HYPERLINK("https://jicheng.tw/tcm/book/%e9%bb%83%e5%b8%9d%e5%85%a7%e7%b6%93%e5%a4%aa%e7%b4%a0/index.html")</f>
        <v>https://jicheng.tw/tcm/book/%e9%bb%83%e5%b8%9d%e5%85%a7%e7%b6%93%e5%a4%aa%e7%b4%a0/index.html</v>
      </c>
    </row>
    <row r="36" spans="1:10">
      <c r="A36" s="10" t="s">
        <v>1384</v>
      </c>
      <c r="B36" s="10" t="s">
        <v>1385</v>
      </c>
      <c r="C36" s="10" t="s">
        <v>35</v>
      </c>
      <c r="D36" t="s">
        <v>1412</v>
      </c>
      <c r="E36" s="1" t="s">
        <v>37</v>
      </c>
      <c r="F36" t="s">
        <v>2395</v>
      </c>
      <c r="G36" s="14" t="s">
        <v>2498</v>
      </c>
      <c r="H36" s="14">
        <v>1896</v>
      </c>
      <c r="I36" s="1"/>
      <c r="J36" s="1" t="str">
        <f>HYPERLINK("https://jicheng.tw/tcm/book/%e5%85%a7%e7%b6%93%e8%a9%95%e6%96%87/index.html")</f>
        <v>https://jicheng.tw/tcm/book/%e5%85%a7%e7%b6%93%e8%a9%95%e6%96%87/index.html</v>
      </c>
    </row>
    <row r="37" spans="1:10">
      <c r="A37" s="10" t="s">
        <v>1384</v>
      </c>
      <c r="B37" s="10" t="s">
        <v>1385</v>
      </c>
      <c r="C37" s="10" t="s">
        <v>35</v>
      </c>
      <c r="D37" t="s">
        <v>1413</v>
      </c>
      <c r="E37" t="s">
        <v>38</v>
      </c>
      <c r="F37" t="s">
        <v>2490</v>
      </c>
      <c r="G37" s="14" t="s">
        <v>2498</v>
      </c>
      <c r="J37" t="str">
        <f>HYPERLINK("https://jicheng.tw/tcm/book/%e9%86%ab%e5%ae%b6%e5%8d%83%e5%ad%97%e6%96%87/index.html")</f>
        <v>https://jicheng.tw/tcm/book/%e9%86%ab%e5%ae%b6%e5%8d%83%e5%ad%97%e6%96%87/index.html</v>
      </c>
    </row>
    <row r="38" spans="1:10">
      <c r="A38" s="10" t="s">
        <v>1384</v>
      </c>
      <c r="B38" s="10" t="s">
        <v>1385</v>
      </c>
      <c r="C38" s="10" t="s">
        <v>35</v>
      </c>
      <c r="D38" t="s">
        <v>1414</v>
      </c>
      <c r="E38" s="1" t="s">
        <v>39</v>
      </c>
      <c r="F38" t="s">
        <v>2397</v>
      </c>
      <c r="G38" s="14" t="s">
        <v>2498</v>
      </c>
      <c r="H38" s="14">
        <v>1850</v>
      </c>
      <c r="I38" s="1"/>
      <c r="J38" s="1" t="str">
        <f>HYPERLINK("https://jicheng.tw/tcm/book/%e5%85%a7%e7%b6%93%e8%be%a8%e8%a8%80/index.html")</f>
        <v>https://jicheng.tw/tcm/book/%e5%85%a7%e7%b6%93%e8%be%a8%e8%a8%80/index.html</v>
      </c>
    </row>
    <row r="39" spans="1:10">
      <c r="A39" s="10" t="s">
        <v>1384</v>
      </c>
      <c r="B39" s="10" t="s">
        <v>1385</v>
      </c>
      <c r="C39" s="10" t="s">
        <v>35</v>
      </c>
      <c r="D39" t="s">
        <v>1415</v>
      </c>
      <c r="E39" t="s">
        <v>40</v>
      </c>
      <c r="F39" t="s">
        <v>2396</v>
      </c>
      <c r="G39" s="14" t="s">
        <v>2495</v>
      </c>
      <c r="J39" t="str">
        <f>HYPERLINK("https://jicheng.tw/tcm/book/%e9%bb%83%e5%b8%9d%e5%85%a7%e7%b6%93%e9%9d%88%e6%a8%9e%e8%a8%bb%e8%ad%89%e7%99%bc%e5%be%ae/index.html")</f>
        <v>https://jicheng.tw/tcm/book/%e9%bb%83%e5%b8%9d%e5%85%a7%e7%b6%93%e9%9d%88%e6%a8%9e%e8%a8%bb%e8%ad%89%e7%99%bc%e5%be%ae/index.html</v>
      </c>
    </row>
    <row r="40" spans="1:10">
      <c r="A40" s="10" t="s">
        <v>1384</v>
      </c>
      <c r="B40" s="10" t="s">
        <v>1385</v>
      </c>
      <c r="C40" s="10" t="s">
        <v>35</v>
      </c>
      <c r="D40" t="s">
        <v>1416</v>
      </c>
      <c r="E40" t="s">
        <v>41</v>
      </c>
      <c r="F40" t="s">
        <v>2365</v>
      </c>
      <c r="G40" s="14" t="s">
        <v>2495</v>
      </c>
      <c r="H40" s="14">
        <v>1624</v>
      </c>
      <c r="J40" t="str">
        <f>HYPERLINK("https://jicheng.tw/tcm/book/%e9%a1%9e%e7%b6%93/index.html")</f>
        <v>https://jicheng.tw/tcm/book/%e9%a1%9e%e7%b6%93/index.html</v>
      </c>
    </row>
    <row r="41" spans="1:10">
      <c r="A41" s="10" t="s">
        <v>1384</v>
      </c>
      <c r="B41" s="10" t="s">
        <v>1385</v>
      </c>
      <c r="C41" s="10" t="s">
        <v>35</v>
      </c>
      <c r="D41" t="s">
        <v>1417</v>
      </c>
      <c r="E41" t="s">
        <v>42</v>
      </c>
      <c r="F41" t="s">
        <v>2365</v>
      </c>
      <c r="G41" s="14" t="s">
        <v>2495</v>
      </c>
      <c r="H41" s="14">
        <v>1624</v>
      </c>
      <c r="J41" t="str">
        <f>HYPERLINK("https://jicheng.tw/tcm/book/%e9%a1%9e%e7%b6%93%5f%31/index.html")</f>
        <v>https://jicheng.tw/tcm/book/%e9%a1%9e%e7%b6%93%5f%31/index.html</v>
      </c>
    </row>
    <row r="42" spans="1:10">
      <c r="A42" s="10" t="s">
        <v>1384</v>
      </c>
      <c r="B42" s="10" t="s">
        <v>1385</v>
      </c>
      <c r="C42" s="10" t="s">
        <v>35</v>
      </c>
      <c r="D42" t="s">
        <v>1418</v>
      </c>
      <c r="E42" t="s">
        <v>43</v>
      </c>
      <c r="F42" t="s">
        <v>2365</v>
      </c>
      <c r="G42" s="14" t="s">
        <v>2495</v>
      </c>
      <c r="H42" s="14">
        <v>1624</v>
      </c>
      <c r="J42" t="str">
        <f>HYPERLINK("https://jicheng.tw/tcm/book/%e9%a1%9e%e7%b6%93%e5%8d%b7%e4%ba%94%e5%85%ad%e8%89%b2%e8%84%88%e7%af%87%5f%e6%a2%9d%e5%88%97%e7%89%88/index.html")</f>
        <v>https://jicheng.tw/tcm/book/%e9%a1%9e%e7%b6%93%e5%8d%b7%e4%ba%94%e5%85%ad%e8%89%b2%e8%84%88%e7%af%87%5f%e6%a2%9d%e5%88%97%e7%89%88/index.html</v>
      </c>
    </row>
    <row r="43" spans="1:10">
      <c r="A43" s="10" t="s">
        <v>1384</v>
      </c>
      <c r="B43" s="10" t="s">
        <v>1385</v>
      </c>
      <c r="C43" s="10" t="s">
        <v>35</v>
      </c>
      <c r="D43" t="s">
        <v>1419</v>
      </c>
      <c r="E43" s="1" t="s">
        <v>44</v>
      </c>
      <c r="F43" t="s">
        <v>2360</v>
      </c>
      <c r="G43" s="14" t="s">
        <v>2495</v>
      </c>
      <c r="H43" s="14">
        <v>1642</v>
      </c>
      <c r="I43" s="1"/>
      <c r="J43" s="1" t="str">
        <f>HYPERLINK("https://jicheng.tw/tcm/book/%e5%85%a7%e7%b6%93%e7%9f%a5%e8%a6%81/index.html")</f>
        <v>https://jicheng.tw/tcm/book/%e5%85%a7%e7%b6%93%e7%9f%a5%e8%a6%81/index.html</v>
      </c>
    </row>
    <row r="44" spans="1:10">
      <c r="A44" s="10" t="s">
        <v>1384</v>
      </c>
      <c r="B44" s="10" t="s">
        <v>1385</v>
      </c>
      <c r="C44" s="10" t="s">
        <v>35</v>
      </c>
      <c r="D44" t="s">
        <v>1420</v>
      </c>
      <c r="E44" t="s">
        <v>45</v>
      </c>
      <c r="F44" t="s">
        <v>2398</v>
      </c>
      <c r="G44" s="14" t="s">
        <v>2361</v>
      </c>
      <c r="H44" s="14">
        <v>1689</v>
      </c>
      <c r="J44" t="str">
        <f>HYPERLINK("https://jicheng.tw/tcm/book/%e7%b4%a0%e5%95%8f%e9%9d%88%e6%a8%9e%e9%a1%9e%e7%ba%82%e7%b4%84%e8%a8%bb/index.html")</f>
        <v>https://jicheng.tw/tcm/book/%e7%b4%a0%e5%95%8f%e9%9d%88%e6%a8%9e%e9%a1%9e%e7%ba%82%e7%b4%84%e8%a8%bb/index.html</v>
      </c>
    </row>
    <row r="45" spans="1:10">
      <c r="A45" s="10" t="s">
        <v>1384</v>
      </c>
      <c r="B45" s="10" t="s">
        <v>1385</v>
      </c>
      <c r="C45" s="10" t="s">
        <v>35</v>
      </c>
      <c r="D45" t="s">
        <v>1421</v>
      </c>
      <c r="E45" t="s">
        <v>46</v>
      </c>
      <c r="F45" t="s">
        <v>2419</v>
      </c>
      <c r="G45" s="14" t="s">
        <v>2361</v>
      </c>
      <c r="J45" t="str">
        <f>HYPERLINK("https://jicheng.tw/tcm/book/%e9%9d%88%e7%b4%a0%e7%af%80%e6%b3%a8%e9%a1%9e%e7%b7%a8/index.html")</f>
        <v>https://jicheng.tw/tcm/book/%e9%9d%88%e7%b4%a0%e7%af%80%e6%b3%a8%e9%a1%9e%e7%b7%a8/index.html</v>
      </c>
    </row>
    <row r="46" spans="1:10">
      <c r="A46" s="10" t="s">
        <v>1384</v>
      </c>
      <c r="B46" s="10" t="s">
        <v>1385</v>
      </c>
      <c r="C46" s="10" t="s">
        <v>35</v>
      </c>
      <c r="D46" t="s">
        <v>1422</v>
      </c>
      <c r="E46" t="s">
        <v>47</v>
      </c>
      <c r="F46" t="s">
        <v>2420</v>
      </c>
      <c r="G46" s="14" t="s">
        <v>2361</v>
      </c>
      <c r="H46" s="14">
        <v>1754</v>
      </c>
      <c r="J46" t="str">
        <f>HYPERLINK("https://jicheng.tw/tcm/book/%e9%86%ab%e7%b6%93%e5%8e%9f%e6%97%a8/index.html")</f>
        <v>https://jicheng.tw/tcm/book/%e9%86%ab%e7%b6%93%e5%8e%9f%e6%97%a8/index.html</v>
      </c>
    </row>
    <row r="47" spans="1:10">
      <c r="A47" s="10" t="s">
        <v>1384</v>
      </c>
      <c r="B47" s="10" t="s">
        <v>1385</v>
      </c>
      <c r="C47" s="10" t="s">
        <v>35</v>
      </c>
      <c r="D47" t="s">
        <v>1423</v>
      </c>
      <c r="E47" s="1" t="s">
        <v>48</v>
      </c>
      <c r="F47" t="s">
        <v>2421</v>
      </c>
      <c r="G47" s="14" t="s">
        <v>2361</v>
      </c>
      <c r="H47" s="14">
        <v>1675</v>
      </c>
      <c r="I47" s="1"/>
      <c r="J47" s="1" t="str">
        <f>HYPERLINK("https://jicheng.tw/tcm/book/%e5%85%a7%e7%b6%93%e8%97%a5%e7%80%b9/index.html")</f>
        <v>https://jicheng.tw/tcm/book/%e5%85%a7%e7%b6%93%e8%97%a5%e7%80%b9/index.html</v>
      </c>
    </row>
    <row r="48" spans="1:10">
      <c r="A48" s="10" t="s">
        <v>1384</v>
      </c>
      <c r="B48" s="10" t="s">
        <v>1385</v>
      </c>
      <c r="C48" s="10" t="s">
        <v>35</v>
      </c>
      <c r="D48" t="s">
        <v>1424</v>
      </c>
      <c r="E48" t="s">
        <v>49</v>
      </c>
      <c r="F48" t="s">
        <v>2422</v>
      </c>
      <c r="G48" s="14" t="s">
        <v>2361</v>
      </c>
      <c r="H48" s="14">
        <v>1764</v>
      </c>
      <c r="J48" t="str">
        <f>HYPERLINK("https://jicheng.tw/tcm/book/%e9%86%ab%e7%b6%93%e8%ae%80/index.html")</f>
        <v>https://jicheng.tw/tcm/book/%e9%86%ab%e7%b6%93%e8%ae%80/index.html</v>
      </c>
    </row>
    <row r="49" spans="1:10">
      <c r="A49" s="10" t="s">
        <v>1384</v>
      </c>
      <c r="B49" s="10" t="s">
        <v>1385</v>
      </c>
      <c r="C49" s="10" t="s">
        <v>35</v>
      </c>
      <c r="D49" t="s">
        <v>1425</v>
      </c>
      <c r="E49" t="s">
        <v>50</v>
      </c>
      <c r="F49" t="s">
        <v>2423</v>
      </c>
      <c r="G49" s="14" t="s">
        <v>2361</v>
      </c>
      <c r="H49" s="14">
        <v>1892</v>
      </c>
      <c r="J49" t="str">
        <f>HYPERLINK("https://jicheng.tw/tcm/book/%e4%b8%ad%e8%a5%bf%e5%8c%af%e9%80%9a%e9%86%ab%e7%b6%93%e7%b2%be%e7%be%a9/index.html")</f>
        <v>https://jicheng.tw/tcm/book/%e4%b8%ad%e8%a5%bf%e5%8c%af%e9%80%9a%e9%86%ab%e7%b6%93%e7%b2%be%e7%be%a9/index.html</v>
      </c>
    </row>
    <row r="50" spans="1:10">
      <c r="A50" s="10" t="s">
        <v>1384</v>
      </c>
      <c r="B50" s="10" t="s">
        <v>1385</v>
      </c>
      <c r="C50" s="10" t="s">
        <v>35</v>
      </c>
      <c r="D50" t="s">
        <v>1426</v>
      </c>
      <c r="E50" t="s">
        <v>51</v>
      </c>
      <c r="F50" t="s">
        <v>2405</v>
      </c>
      <c r="G50" s="14" t="s">
        <v>2513</v>
      </c>
      <c r="H50" s="14">
        <v>1186</v>
      </c>
      <c r="J50" t="str">
        <f>HYPERLINK("https://jicheng.tw/tcm/book/%e9%bb%83%e5%b8%9d%e7%b4%a0%e5%95%8f%e5%ae%a3%e6%98%8e%e8%ab%96%e6%96%b9/index.html")</f>
        <v>https://jicheng.tw/tcm/book/%e9%bb%83%e5%b8%9d%e7%b4%a0%e5%95%8f%e5%ae%a3%e6%98%8e%e8%ab%96%e6%96%b9/index.html</v>
      </c>
    </row>
    <row r="51" spans="1:10">
      <c r="A51" s="10" t="s">
        <v>1384</v>
      </c>
      <c r="B51" s="10" t="s">
        <v>1385</v>
      </c>
      <c r="C51" s="10" t="s">
        <v>35</v>
      </c>
      <c r="D51" t="s">
        <v>1427</v>
      </c>
      <c r="E51" t="s">
        <v>52</v>
      </c>
      <c r="F51" t="s">
        <v>2405</v>
      </c>
      <c r="G51" s="14" t="s">
        <v>2513</v>
      </c>
      <c r="H51" s="14">
        <v>1186</v>
      </c>
      <c r="J51" t="str">
        <f>HYPERLINK("https://jicheng.tw/tcm/book/%e9%bb%83%e5%b8%9d%e7%b4%a0%e5%95%8f%e5%ae%a3%e6%98%8e%e8%ab%96%e6%96%b9%5f%31/index.html")</f>
        <v>https://jicheng.tw/tcm/book/%e9%bb%83%e5%b8%9d%e7%b4%a0%e5%95%8f%e5%ae%a3%e6%98%8e%e8%ab%96%e6%96%b9%5f%31/index.html</v>
      </c>
    </row>
    <row r="52" spans="1:10">
      <c r="A52" s="10" t="s">
        <v>1384</v>
      </c>
      <c r="B52" s="10" t="s">
        <v>1385</v>
      </c>
      <c r="C52" s="10" t="s">
        <v>35</v>
      </c>
      <c r="D52" t="s">
        <v>1428</v>
      </c>
      <c r="E52" s="1" t="s">
        <v>53</v>
      </c>
      <c r="F52" t="s">
        <v>2424</v>
      </c>
      <c r="G52" s="14" t="s">
        <v>2361</v>
      </c>
      <c r="H52" s="14">
        <v>1675</v>
      </c>
      <c r="I52" s="1"/>
      <c r="J52" s="1" t="str">
        <f>HYPERLINK("https://jicheng.tw/tcm/book/%e5%85%a7%e7%b6%93%e5%8d%9a%e8%ad%b0/index.html")</f>
        <v>https://jicheng.tw/tcm/book/%e5%85%a7%e7%b6%93%e5%8d%9a%e8%ad%b0/index.html</v>
      </c>
    </row>
    <row r="53" spans="1:10">
      <c r="A53" s="10" t="s">
        <v>1384</v>
      </c>
      <c r="B53" s="10" t="s">
        <v>1385</v>
      </c>
      <c r="C53" s="10" t="s">
        <v>35</v>
      </c>
      <c r="D53" t="s">
        <v>1429</v>
      </c>
      <c r="E53" s="1" t="s">
        <v>54</v>
      </c>
      <c r="F53" t="s">
        <v>2392</v>
      </c>
      <c r="G53" s="14" t="s">
        <v>2361</v>
      </c>
      <c r="H53" s="14">
        <v>1884</v>
      </c>
      <c r="I53" s="1"/>
      <c r="J53" s="1" t="str">
        <f>HYPERLINK("https://jicheng.tw/tcm/book/%e5%85%a7%e7%b6%93%e9%81%8b%e6%b0%a3%e7%97%85%e9%87%8b/index.html")</f>
        <v>https://jicheng.tw/tcm/book/%e5%85%a7%e7%b6%93%e9%81%8b%e6%b0%a3%e7%97%85%e9%87%8b/index.html</v>
      </c>
    </row>
    <row r="54" spans="1:10">
      <c r="A54" s="10" t="s">
        <v>1384</v>
      </c>
      <c r="B54" s="10" t="s">
        <v>1385</v>
      </c>
      <c r="C54" s="10" t="s">
        <v>35</v>
      </c>
      <c r="D54" t="s">
        <v>1430</v>
      </c>
      <c r="E54" s="1" t="s">
        <v>55</v>
      </c>
      <c r="F54" t="s">
        <v>2392</v>
      </c>
      <c r="G54" s="14" t="s">
        <v>2361</v>
      </c>
      <c r="H54" s="14">
        <v>1884</v>
      </c>
      <c r="I54" s="1"/>
      <c r="J54" s="1" t="str">
        <f>HYPERLINK("https://jicheng.tw/tcm/book/%e5%85%a7%e7%b6%93%e9%81%8b%e6%b0%a3%e8%a1%a8/index.html")</f>
        <v>https://jicheng.tw/tcm/book/%e5%85%a7%e7%b6%93%e9%81%8b%e6%b0%a3%e8%a1%a8/index.html</v>
      </c>
    </row>
    <row r="55" spans="1:10">
      <c r="A55" s="10" t="s">
        <v>1384</v>
      </c>
      <c r="B55" s="10" t="s">
        <v>1385</v>
      </c>
      <c r="C55" s="10" t="s">
        <v>35</v>
      </c>
      <c r="D55" t="s">
        <v>1431</v>
      </c>
      <c r="E55" s="1" t="s">
        <v>56</v>
      </c>
      <c r="F55" t="s">
        <v>2392</v>
      </c>
      <c r="G55" s="14" t="s">
        <v>2361</v>
      </c>
      <c r="H55" s="14">
        <v>1884</v>
      </c>
      <c r="I55" s="1"/>
      <c r="J55" s="1" t="str">
        <f>HYPERLINK("https://jicheng.tw/tcm/book/%e5%85%a7%e7%b6%93%e9%9b%a3%e5%ad%97%e9%9f%b3%e7%be%a9/index.html")</f>
        <v>https://jicheng.tw/tcm/book/%e5%85%a7%e7%b6%93%e9%9b%a3%e5%ad%97%e9%9f%b3%e7%be%a9/index.html</v>
      </c>
    </row>
    <row r="56" spans="1:10">
      <c r="A56" s="10" t="s">
        <v>1384</v>
      </c>
      <c r="B56" s="10" t="s">
        <v>1385</v>
      </c>
      <c r="C56" s="10" t="s">
        <v>35</v>
      </c>
      <c r="D56" t="s">
        <v>1432</v>
      </c>
      <c r="E56" t="s">
        <v>57</v>
      </c>
      <c r="F56" t="s">
        <v>2425</v>
      </c>
      <c r="G56" s="14" t="s">
        <v>2495</v>
      </c>
      <c r="H56" s="14">
        <v>1528</v>
      </c>
      <c r="J56" t="str">
        <f>HYPERLINK("https://jicheng.tw/tcm/book/%e9%81%8b%e6%b0%a3%e6%98%93%e8%a6%bd/index.html")</f>
        <v>https://jicheng.tw/tcm/book/%e9%81%8b%e6%b0%a3%e6%98%93%e8%a6%bd/index.html</v>
      </c>
    </row>
    <row r="57" spans="1:10">
      <c r="A57" s="10" t="s">
        <v>1384</v>
      </c>
      <c r="B57" s="10" t="s">
        <v>1385</v>
      </c>
      <c r="C57" s="10" t="s">
        <v>35</v>
      </c>
      <c r="D57" t="s">
        <v>1433</v>
      </c>
      <c r="E57" t="s">
        <v>58</v>
      </c>
      <c r="F57" t="s">
        <v>2426</v>
      </c>
      <c r="G57" s="14" t="s">
        <v>2361</v>
      </c>
      <c r="H57" s="14">
        <v>1698</v>
      </c>
      <c r="J57" t="str">
        <f>HYPERLINK("https://jicheng.tw/tcm/book/%e5%a4%96%e7%b6%93%e5%be%ae%e8%a8%80/index.html")</f>
        <v>https://jicheng.tw/tcm/book/%e5%a4%96%e7%b6%93%e5%be%ae%e8%a8%80/index.html</v>
      </c>
    </row>
    <row r="58" spans="1:10">
      <c r="A58" s="10" t="s">
        <v>1384</v>
      </c>
      <c r="B58" s="10" t="s">
        <v>1385</v>
      </c>
      <c r="C58" s="10" t="s">
        <v>35</v>
      </c>
      <c r="D58" t="s">
        <v>1434</v>
      </c>
      <c r="E58" t="s">
        <v>59</v>
      </c>
      <c r="F58" t="s">
        <v>2387</v>
      </c>
      <c r="G58" s="14" t="s">
        <v>2361</v>
      </c>
      <c r="H58" s="14">
        <v>1752</v>
      </c>
      <c r="J58" t="str">
        <f>HYPERLINK("https://jicheng.tw/tcm/book/%e5%9b%9b%e8%81%96%e6%87%b8%e6%a8%9e/index.html")</f>
        <v>https://jicheng.tw/tcm/book/%e5%9b%9b%e8%81%96%e6%87%b8%e6%a8%9e/index.html</v>
      </c>
    </row>
    <row r="59" spans="1:10">
      <c r="A59" s="10" t="s">
        <v>1384</v>
      </c>
      <c r="B59" s="10" t="s">
        <v>1385</v>
      </c>
      <c r="C59" s="10" t="s">
        <v>35</v>
      </c>
      <c r="D59" t="s">
        <v>1435</v>
      </c>
      <c r="E59" t="s">
        <v>60</v>
      </c>
      <c r="F59" t="s">
        <v>2387</v>
      </c>
      <c r="G59" s="14" t="s">
        <v>2361</v>
      </c>
      <c r="H59" s="14">
        <v>1754</v>
      </c>
      <c r="J59" t="str">
        <f>HYPERLINK("https://jicheng.tw/tcm/book/%e7%b4%a0%e9%9d%88%e5%be%ae%e8%98%8a/index.html")</f>
        <v>https://jicheng.tw/tcm/book/%e7%b4%a0%e9%9d%88%e5%be%ae%e8%98%8a/index.html</v>
      </c>
    </row>
    <row r="60" spans="1:10">
      <c r="A60" s="10" t="s">
        <v>1384</v>
      </c>
      <c r="B60" s="10" t="s">
        <v>1436</v>
      </c>
      <c r="C60" s="10"/>
      <c r="D60" t="s">
        <v>1437</v>
      </c>
      <c r="E60" t="s">
        <v>61</v>
      </c>
      <c r="F60" t="s">
        <v>2491</v>
      </c>
      <c r="J60" s="4" t="str">
        <f>HYPERLINK("https://jicheng.tw/tcm/book/%e5%85%ab%e5%8d%81%e4%b8%80%e9%9b%a3%e7%b6%93/index.html")</f>
        <v>https://jicheng.tw/tcm/book/%e5%85%ab%e5%8d%81%e4%b8%80%e9%9b%a3%e7%b6%93/index.html</v>
      </c>
    </row>
    <row r="61" spans="1:10">
      <c r="A61" s="10" t="s">
        <v>1384</v>
      </c>
      <c r="B61" s="10" t="s">
        <v>1436</v>
      </c>
      <c r="C61" s="10"/>
      <c r="D61" t="s">
        <v>1438</v>
      </c>
      <c r="E61" t="s">
        <v>62</v>
      </c>
      <c r="F61" t="s">
        <v>2390</v>
      </c>
      <c r="G61" s="14" t="s">
        <v>2361</v>
      </c>
      <c r="H61" s="14">
        <v>1738</v>
      </c>
      <c r="J61" s="4" t="str">
        <f>HYPERLINK("https://jicheng.tw/tcm/book/%e5%8f%a4%e6%9c%ac%e9%9b%a3%e7%b6%93%e9%97%a1%e8%a8%bb/index.html")</f>
        <v>https://jicheng.tw/tcm/book/%e5%8f%a4%e6%9c%ac%e9%9b%a3%e7%b6%93%e9%97%a1%e8%a8%bb/index.html</v>
      </c>
    </row>
    <row r="62" spans="1:10">
      <c r="A62" s="10" t="s">
        <v>1384</v>
      </c>
      <c r="B62" s="10" t="s">
        <v>1436</v>
      </c>
      <c r="C62" s="10"/>
      <c r="D62" t="s">
        <v>1439</v>
      </c>
      <c r="E62" t="s">
        <v>63</v>
      </c>
      <c r="F62" t="s">
        <v>2389</v>
      </c>
      <c r="G62" s="14" t="s">
        <v>2495</v>
      </c>
      <c r="H62" s="14">
        <v>1505</v>
      </c>
      <c r="J62" t="str">
        <f>HYPERLINK("https://jicheng.tw/tcm/book/%e9%9b%a3%e7%b6%93%e9%9b%86%e8%a8%bb/index.html")</f>
        <v>https://jicheng.tw/tcm/book/%e9%9b%a3%e7%b6%93%e9%9b%86%e8%a8%bb/index.html</v>
      </c>
    </row>
    <row r="63" spans="1:10">
      <c r="A63" s="10" t="s">
        <v>1384</v>
      </c>
      <c r="B63" s="10" t="s">
        <v>1436</v>
      </c>
      <c r="C63" s="10"/>
      <c r="D63" t="s">
        <v>1440</v>
      </c>
      <c r="E63" t="s">
        <v>64</v>
      </c>
      <c r="F63" t="s">
        <v>2390</v>
      </c>
      <c r="G63" s="14" t="s">
        <v>2498</v>
      </c>
      <c r="J63" t="str">
        <f>HYPERLINK("https://jicheng.tw/tcm/book/%e9%9b%a3%e7%b6%93%e5%8f%a4%e7%be%a9/index.html")</f>
        <v>https://jicheng.tw/tcm/book/%e9%9b%a3%e7%b6%93%e5%8f%a4%e7%be%a9/index.html</v>
      </c>
    </row>
    <row r="64" spans="1:10">
      <c r="A64" s="10" t="s">
        <v>1384</v>
      </c>
      <c r="B64" s="10" t="s">
        <v>1436</v>
      </c>
      <c r="C64" s="10"/>
      <c r="D64" t="s">
        <v>1441</v>
      </c>
      <c r="E64" t="s">
        <v>65</v>
      </c>
      <c r="F64" t="s">
        <v>2391</v>
      </c>
      <c r="G64" s="14" t="s">
        <v>2498</v>
      </c>
      <c r="H64" s="14">
        <v>1895</v>
      </c>
      <c r="J64" t="str">
        <f>HYPERLINK("https://jicheng.tw/tcm/book/%e9%9b%a3%e7%b6%93%e6%ad%a3%e7%be%a9/index.html")</f>
        <v>https://jicheng.tw/tcm/book/%e9%9b%a3%e7%b6%93%e6%ad%a3%e7%be%a9/index.html</v>
      </c>
    </row>
    <row r="65" spans="1:10">
      <c r="A65" s="10" t="s">
        <v>1384</v>
      </c>
      <c r="B65" s="10" t="s">
        <v>1436</v>
      </c>
      <c r="C65" s="10"/>
      <c r="D65" t="s">
        <v>1442</v>
      </c>
      <c r="E65" t="s">
        <v>66</v>
      </c>
      <c r="F65" t="s">
        <v>2375</v>
      </c>
      <c r="G65" s="14" t="s">
        <v>2498</v>
      </c>
      <c r="H65" s="14">
        <v>1727</v>
      </c>
      <c r="J65" s="4" t="str">
        <f>HYPERLINK("https://jicheng.tw/tcm/book/%e9%9b%a3%e7%b6%93%e7%b6%93%e9%87%8b/index.html")</f>
        <v>https://jicheng.tw/tcm/book/%e9%9b%a3%e7%b6%93%e7%b6%93%e9%87%8b/index.html</v>
      </c>
    </row>
    <row r="66" spans="1:10">
      <c r="A66" s="10" t="s">
        <v>1384</v>
      </c>
      <c r="B66" s="10" t="s">
        <v>1436</v>
      </c>
      <c r="C66" s="10"/>
      <c r="D66" t="s">
        <v>1443</v>
      </c>
      <c r="E66" t="s">
        <v>67</v>
      </c>
      <c r="F66" t="s">
        <v>2382</v>
      </c>
      <c r="G66" s="14" t="s">
        <v>2501</v>
      </c>
      <c r="H66" s="14">
        <v>1361</v>
      </c>
      <c r="J66" t="str">
        <f>HYPERLINK("https://jicheng.tw/tcm/book/%e9%9b%a3%e7%b6%93%e6%9c%ac%e7%be%a9/index.html")</f>
        <v>https://jicheng.tw/tcm/book/%e9%9b%a3%e7%b6%93%e6%9c%ac%e7%be%a9/index.html</v>
      </c>
    </row>
    <row r="67" spans="1:10">
      <c r="A67" s="10" t="s">
        <v>1384</v>
      </c>
      <c r="B67" s="10" t="s">
        <v>1436</v>
      </c>
      <c r="C67" s="10"/>
      <c r="D67" t="s">
        <v>1444</v>
      </c>
      <c r="E67" t="s">
        <v>68</v>
      </c>
      <c r="F67" t="s">
        <v>2382</v>
      </c>
      <c r="G67" s="14" t="s">
        <v>2501</v>
      </c>
      <c r="J67" t="str">
        <f>HYPERLINK("https://jicheng.tw/tcm/book/%e9%9b%a3%e7%b6%93%e6%9c%ac%e7%be%a9%5f%e6%a2%9d%e5%88%97%e7%89%88/index.html")</f>
        <v>https://jicheng.tw/tcm/book/%e9%9b%a3%e7%b6%93%e6%9c%ac%e7%be%a9%5f%e6%a2%9d%e5%88%97%e7%89%88/index.html</v>
      </c>
    </row>
    <row r="68" spans="1:10">
      <c r="A68" s="10" t="s">
        <v>1384</v>
      </c>
      <c r="B68" s="10" t="s">
        <v>1436</v>
      </c>
      <c r="C68" s="10"/>
      <c r="D68" t="s">
        <v>1445</v>
      </c>
      <c r="E68" t="s">
        <v>69</v>
      </c>
      <c r="F68" t="s">
        <v>2492</v>
      </c>
      <c r="G68" s="14" t="s">
        <v>2498</v>
      </c>
      <c r="J68" t="str">
        <f>HYPERLINK("https://jicheng.tw/tcm/book/%e9%9b%a3%e7%b6%93%e7%96%8f%e8%ad%89/index.html")</f>
        <v>https://jicheng.tw/tcm/book/%e9%9b%a3%e7%b6%93%e7%96%8f%e8%ad%89/index.html</v>
      </c>
    </row>
    <row r="69" spans="1:10">
      <c r="A69" s="10" t="s">
        <v>1384</v>
      </c>
      <c r="B69" s="10" t="s">
        <v>1436</v>
      </c>
      <c r="C69" s="10"/>
      <c r="D69" t="s">
        <v>1446</v>
      </c>
      <c r="E69" t="s">
        <v>70</v>
      </c>
      <c r="F69" t="s">
        <v>2388</v>
      </c>
      <c r="G69" s="14" t="s">
        <v>2498</v>
      </c>
      <c r="H69" s="14">
        <v>1756</v>
      </c>
      <c r="J69" t="str">
        <f>HYPERLINK("https://jicheng.tw/tcm/book/%e9%9b%a3%e7%b6%93%e6%87%b8%e8%a7%a3/index.html")</f>
        <v>https://jicheng.tw/tcm/book/%e9%9b%a3%e7%b6%93%e6%87%b8%e8%a7%a3/index.html</v>
      </c>
    </row>
    <row r="70" spans="1:10">
      <c r="A70" s="10" t="s">
        <v>1384</v>
      </c>
      <c r="B70" s="10" t="s">
        <v>1436</v>
      </c>
      <c r="C70" s="10"/>
      <c r="D70" t="s">
        <v>1447</v>
      </c>
      <c r="E70" t="s">
        <v>71</v>
      </c>
      <c r="G70" s="14" t="s">
        <v>2495</v>
      </c>
      <c r="H70" s="14">
        <v>1599</v>
      </c>
      <c r="J70" t="str">
        <f>HYPERLINK("https://jicheng.tw/tcm/book/%e9%8d%a5%e7%8e%8b%e6%b0%8f%e7%a7%98%e5%82%b3%e5%9c%96%e8%a8%bb%e5%85%ab%e5%8d%81%e4%b8%80%e9%9b%a3%e7%b6%93%e8%a9%95%e6%9e%97%e6%8d%b7%e5%be%91%e7%b5%b1%e5%ae%97/index.html")</f>
        <v>https://jicheng.tw/tcm/book/%e9%8d%a5%e7%8e%8b%e6%b0%8f%e7%a7%98%e5%82%b3%e5%9c%96%e8%a8%bb%e5%85%ab%e5%8d%81%e4%b8%80%e9%9b%a3%e7%b6%93%e8%a9%95%e6%9e%97%e6%8d%b7%e5%be%91%e7%b5%b1%e5%ae%97/index.html</v>
      </c>
    </row>
    <row r="71" spans="1:10">
      <c r="A71" s="10" t="s">
        <v>1384</v>
      </c>
      <c r="B71" s="10" t="s">
        <v>1436</v>
      </c>
      <c r="C71" s="10"/>
      <c r="D71" t="s">
        <v>1448</v>
      </c>
      <c r="E71" t="s">
        <v>72</v>
      </c>
      <c r="F71" t="s">
        <v>2386</v>
      </c>
      <c r="G71" s="14" t="s">
        <v>2515</v>
      </c>
      <c r="H71" s="14">
        <v>1269</v>
      </c>
      <c r="J71" t="str">
        <f>HYPERLINK("https://jicheng.tw/tcm/book/%e9%bb%83%e5%b8%9d%e5%85%ab%e5%8d%81%e4%b8%80%e9%9b%a3%e7%b6%93%e7%ba%82%e5%9c%96%e5%8f%a5%e8%a7%a3/index.html")</f>
        <v>https://jicheng.tw/tcm/book/%e9%bb%83%e5%b8%9d%e5%85%ab%e5%8d%81%e4%b8%80%e9%9b%a3%e7%b6%93%e7%ba%82%e5%9c%96%e5%8f%a5%e8%a7%a3/index.html</v>
      </c>
    </row>
    <row r="72" spans="1:10">
      <c r="A72" s="10" t="s">
        <v>1384</v>
      </c>
      <c r="B72" s="10" t="s">
        <v>73</v>
      </c>
      <c r="C72" s="10"/>
      <c r="D72" t="s">
        <v>2433</v>
      </c>
      <c r="E72" t="s">
        <v>74</v>
      </c>
      <c r="J72" t="str">
        <f>HYPERLINK("https://jicheng.tw/tcm/book/%e9%a6%ac%e7%8e%8b%e5%a0%86%e7%b0%a1%e5%b8%9b/index.html")</f>
        <v>https://jicheng.tw/tcm/book/%e9%a6%ac%e7%8e%8b%e5%a0%86%e7%b0%a1%e5%b8%9b/index.html</v>
      </c>
    </row>
    <row r="73" spans="1:10">
      <c r="A73" s="10" t="s">
        <v>1384</v>
      </c>
      <c r="B73" s="10" t="s">
        <v>73</v>
      </c>
      <c r="C73" s="10"/>
      <c r="D73" t="s">
        <v>1449</v>
      </c>
      <c r="E73" t="s">
        <v>75</v>
      </c>
      <c r="J73" t="str">
        <f>HYPERLINK("https://jicheng.tw/tcm/book/%e9%bb%83%e5%b8%9d%e5%a4%96%e7%b6%93/index.html")</f>
        <v>https://jicheng.tw/tcm/book/%e9%bb%83%e5%b8%9d%e5%a4%96%e7%b6%93/index.html</v>
      </c>
    </row>
    <row r="74" spans="1:10">
      <c r="A74" s="10" t="s">
        <v>76</v>
      </c>
      <c r="B74" s="10"/>
      <c r="C74" s="10"/>
      <c r="D74" t="s">
        <v>1450</v>
      </c>
      <c r="E74" t="s">
        <v>77</v>
      </c>
      <c r="F74" t="s">
        <v>2434</v>
      </c>
      <c r="G74" s="14" t="s">
        <v>2498</v>
      </c>
      <c r="H74" s="14">
        <v>1652</v>
      </c>
      <c r="J74" t="str">
        <f>HYPERLINK("https://jicheng.tw/tcm/book/%e9%86%ab%e7%87%88%e7%ba%8c%e7%84%b0/index.html")</f>
        <v>https://jicheng.tw/tcm/book/%e9%86%ab%e7%87%88%e7%ba%8c%e7%84%b0/index.html</v>
      </c>
    </row>
    <row r="75" spans="1:10">
      <c r="A75" s="10" t="s">
        <v>76</v>
      </c>
      <c r="B75" s="10"/>
      <c r="C75" s="10"/>
      <c r="D75" t="s">
        <v>78</v>
      </c>
      <c r="E75" t="s">
        <v>78</v>
      </c>
      <c r="F75" t="s">
        <v>2385</v>
      </c>
      <c r="G75" s="14" t="s">
        <v>2496</v>
      </c>
      <c r="H75" s="14">
        <v>1241</v>
      </c>
      <c r="J75" t="str">
        <f>HYPERLINK("https://jicheng.tw/tcm/book/%e5%af%9f%e7%97%85%e6%8c%87%e5%8d%97/index.html")</f>
        <v>https://jicheng.tw/tcm/book/%e5%af%9f%e7%97%85%e6%8c%87%e5%8d%97/index.html</v>
      </c>
    </row>
    <row r="76" spans="1:10">
      <c r="A76" s="10" t="s">
        <v>76</v>
      </c>
      <c r="B76" s="10"/>
      <c r="C76" s="10"/>
      <c r="D76" t="s">
        <v>79</v>
      </c>
      <c r="E76" t="s">
        <v>79</v>
      </c>
      <c r="F76" t="s">
        <v>2435</v>
      </c>
      <c r="G76" s="14" t="s">
        <v>2498</v>
      </c>
      <c r="H76" s="14">
        <v>1723</v>
      </c>
      <c r="J76" t="str">
        <f>HYPERLINK("https://jicheng.tw/tcm/book/%e5%9b%9b%e8%a8%ba%e6%8a%89%e5%be%ae/index.html")</f>
        <v>https://jicheng.tw/tcm/book/%e5%9b%9b%e8%a8%ba%e6%8a%89%e5%be%ae/index.html</v>
      </c>
    </row>
    <row r="77" spans="1:10">
      <c r="A77" s="10" t="s">
        <v>76</v>
      </c>
      <c r="B77" s="10"/>
      <c r="C77" s="10"/>
      <c r="D77" t="s">
        <v>1451</v>
      </c>
      <c r="E77" t="s">
        <v>2370</v>
      </c>
      <c r="F77" t="s">
        <v>2430</v>
      </c>
      <c r="G77" s="14" t="s">
        <v>2498</v>
      </c>
      <c r="H77" s="14">
        <v>1742</v>
      </c>
      <c r="J77" s="4" t="str">
        <f>HYPERLINK("https://jicheng.tw/tcm/book/%E9%86%AB%E5%AE%97%E9%87%91%E9%91%91/%E5%9B%9B%E8%A8%BA%E5%BF%83%E6%B3%95%E8%A6%81%E8%A8%A3/index.html")</f>
        <v>https://jicheng.tw/tcm/book/%E9%86%AB%E5%AE%97%E9%87%91%E9%91%91/%E5%9B%9B%E8%A8%BA%E5%BF%83%E6%B3%95%E8%A6%81%E8%A8%A3/index.html</v>
      </c>
    </row>
    <row r="78" spans="1:10">
      <c r="A78" s="10" t="s">
        <v>76</v>
      </c>
      <c r="B78" s="10"/>
      <c r="C78" s="10"/>
      <c r="D78" t="s">
        <v>1452</v>
      </c>
      <c r="E78" t="s">
        <v>81</v>
      </c>
      <c r="F78" t="s">
        <v>2436</v>
      </c>
      <c r="G78" s="14" t="s">
        <v>2498</v>
      </c>
      <c r="H78" s="14">
        <v>1812</v>
      </c>
      <c r="J78" t="str">
        <f>HYPERLINK("https://jicheng.tw/tcm/book/%e9%86%ab%e6%9c%83%e5%85%83%e8%a6%81/index.html")</f>
        <v>https://jicheng.tw/tcm/book/%e9%86%ab%e6%9c%83%e5%85%83%e8%a6%81/index.html</v>
      </c>
    </row>
    <row r="79" spans="1:10">
      <c r="A79" s="10" t="s">
        <v>76</v>
      </c>
      <c r="B79" s="10"/>
      <c r="C79" s="10"/>
      <c r="D79" t="s">
        <v>1453</v>
      </c>
      <c r="E79" t="s">
        <v>82</v>
      </c>
      <c r="F79" t="s">
        <v>2436</v>
      </c>
      <c r="G79" s="14" t="s">
        <v>2498</v>
      </c>
      <c r="H79" s="14">
        <v>1812</v>
      </c>
      <c r="J79" t="str">
        <f>HYPERLINK("https://jicheng.tw/tcm/book/%e9%86%ab%e5%ad%b8%e6%8c%87%e8%a6%81/index.html")</f>
        <v>https://jicheng.tw/tcm/book/%e9%86%ab%e5%ad%b8%e6%8c%87%e8%a6%81/index.html</v>
      </c>
    </row>
    <row r="80" spans="1:10">
      <c r="A80" s="10" t="s">
        <v>76</v>
      </c>
      <c r="B80" s="10"/>
      <c r="C80" s="10"/>
      <c r="D80" t="s">
        <v>83</v>
      </c>
      <c r="E80" t="s">
        <v>83</v>
      </c>
      <c r="F80" t="s">
        <v>2394</v>
      </c>
      <c r="G80" s="14" t="s">
        <v>2498</v>
      </c>
      <c r="J80" s="4" t="str">
        <f>HYPERLINK("https://jicheng.tw/tcm/book/%e9%87%8d%e8%a8%82%e8%a8%ba%e5%ae%b6%e7%9b%b4%e8%a8%a3/index.html")</f>
        <v>https://jicheng.tw/tcm/book/%e9%87%8d%e8%a8%82%e8%a8%ba%e5%ae%b6%e7%9b%b4%e8%a8%a3/index.html</v>
      </c>
    </row>
    <row r="81" spans="1:10">
      <c r="A81" s="10" t="s">
        <v>76</v>
      </c>
      <c r="B81" s="10"/>
      <c r="C81" s="10"/>
      <c r="D81" t="s">
        <v>1454</v>
      </c>
      <c r="E81" t="s">
        <v>84</v>
      </c>
      <c r="F81" t="s">
        <v>2437</v>
      </c>
      <c r="G81" s="14" t="s">
        <v>2498</v>
      </c>
      <c r="H81" s="14">
        <v>1810</v>
      </c>
      <c r="J81" t="str">
        <f>HYPERLINK("https://jicheng.tw/tcm/book/%e9%86%ab%e9%9a%8e%e8%be%a8%e8%ad%89/index.html")</f>
        <v>https://jicheng.tw/tcm/book/%e9%86%ab%e9%9a%8e%e8%be%a8%e8%ad%89/index.html</v>
      </c>
    </row>
    <row r="82" spans="1:10">
      <c r="A82" s="10" t="s">
        <v>76</v>
      </c>
      <c r="B82" s="10"/>
      <c r="C82" s="10"/>
      <c r="D82" t="s">
        <v>1455</v>
      </c>
      <c r="E82" t="s">
        <v>85</v>
      </c>
      <c r="F82" t="s">
        <v>2438</v>
      </c>
      <c r="G82" s="14" t="s">
        <v>2498</v>
      </c>
      <c r="J82" t="str">
        <f>HYPERLINK("https://jicheng.tw/tcm/book/%e9%86%ab%e9%a9%97%e9%9a%a8%e7%ad%86/index.html")</f>
        <v>https://jicheng.tw/tcm/book/%e9%86%ab%e9%a9%97%e9%9a%a8%e7%ad%86/index.html</v>
      </c>
    </row>
    <row r="83" spans="1:10">
      <c r="A83" s="10" t="s">
        <v>76</v>
      </c>
      <c r="B83" s="10"/>
      <c r="C83" s="10"/>
      <c r="D83" t="s">
        <v>1456</v>
      </c>
      <c r="E83" t="s">
        <v>86</v>
      </c>
      <c r="F83" t="s">
        <v>2439</v>
      </c>
      <c r="G83" s="14" t="s">
        <v>2495</v>
      </c>
      <c r="H83" s="14">
        <v>1643</v>
      </c>
      <c r="J83" t="str">
        <f>HYPERLINK("https://jicheng.tw/tcm/book/%e8%ad%89%e6%b2%bb%e5%bf%83%e5%82%b3/index.html")</f>
        <v>https://jicheng.tw/tcm/book/%e8%ad%89%e6%b2%bb%e5%bf%83%e5%82%b3/index.html</v>
      </c>
    </row>
    <row r="84" spans="1:10">
      <c r="A84" s="10" t="s">
        <v>76</v>
      </c>
      <c r="B84" s="10"/>
      <c r="C84" s="10"/>
      <c r="D84" t="s">
        <v>1457</v>
      </c>
      <c r="E84" t="s">
        <v>87</v>
      </c>
      <c r="F84" t="s">
        <v>2439</v>
      </c>
      <c r="G84" s="14" t="s">
        <v>2495</v>
      </c>
      <c r="H84" s="14">
        <v>1643</v>
      </c>
      <c r="J84" t="str">
        <f>HYPERLINK("https://jicheng.tw/tcm/book/%e8%ad%89%e6%b2%bb%e5%bf%83%e5%82%b3%5f%31/index.html")</f>
        <v>https://jicheng.tw/tcm/book/%e8%ad%89%e6%b2%bb%e5%bf%83%e5%82%b3%5f%31/index.html</v>
      </c>
    </row>
    <row r="85" spans="1:10">
      <c r="A85" s="10" t="s">
        <v>76</v>
      </c>
      <c r="B85" s="10" t="s">
        <v>88</v>
      </c>
      <c r="C85" s="10"/>
      <c r="D85" t="s">
        <v>1458</v>
      </c>
      <c r="E85" t="s">
        <v>89</v>
      </c>
      <c r="F85" t="s">
        <v>2414</v>
      </c>
      <c r="G85" s="14" t="s">
        <v>2516</v>
      </c>
      <c r="H85" s="14">
        <v>280</v>
      </c>
      <c r="J85" t="str">
        <f>HYPERLINK("https://jicheng.tw/tcm/book/%e8%84%88%e7%b6%93/index.html")</f>
        <v>https://jicheng.tw/tcm/book/%e8%84%88%e7%b6%93/index.html</v>
      </c>
    </row>
    <row r="86" spans="1:10">
      <c r="A86" s="10" t="s">
        <v>76</v>
      </c>
      <c r="B86" s="10" t="s">
        <v>88</v>
      </c>
      <c r="C86" s="10"/>
      <c r="D86" t="s">
        <v>1459</v>
      </c>
      <c r="E86" t="s">
        <v>90</v>
      </c>
      <c r="F86" t="s">
        <v>2414</v>
      </c>
      <c r="G86" s="14" t="s">
        <v>2516</v>
      </c>
      <c r="H86" s="14">
        <v>280</v>
      </c>
      <c r="J86" t="str">
        <f>HYPERLINK("https://jicheng.tw/tcm/book/%e8%84%88%e7%b6%93%5f%31/index.html")</f>
        <v>https://jicheng.tw/tcm/book/%e8%84%88%e7%b6%93%5f%31/index.html</v>
      </c>
    </row>
    <row r="87" spans="1:10">
      <c r="A87" s="10" t="s">
        <v>76</v>
      </c>
      <c r="B87" s="10" t="s">
        <v>88</v>
      </c>
      <c r="C87" s="10"/>
      <c r="D87" t="s">
        <v>1460</v>
      </c>
      <c r="E87" t="s">
        <v>91</v>
      </c>
      <c r="F87" t="s">
        <v>2493</v>
      </c>
      <c r="G87" s="14" t="s">
        <v>2503</v>
      </c>
      <c r="H87" s="14">
        <v>1248</v>
      </c>
      <c r="J87" t="str">
        <f>HYPERLINK("https://jicheng.tw/tcm/book/%e8%84%88%e8%a8%a3%e6%8c%87%e6%8e%8c%e7%97%85%e5%bc%8f%e5%9c%96%e8%aa%aa/index.html")</f>
        <v>https://jicheng.tw/tcm/book/%e8%84%88%e8%a8%a3%e6%8c%87%e6%8e%8c%e7%97%85%e5%bc%8f%e5%9c%96%e8%aa%aa/index.html</v>
      </c>
    </row>
    <row r="88" spans="1:10">
      <c r="A88" s="10" t="s">
        <v>76</v>
      </c>
      <c r="B88" s="10" t="s">
        <v>88</v>
      </c>
      <c r="C88" s="10"/>
      <c r="D88" t="s">
        <v>92</v>
      </c>
      <c r="E88" t="s">
        <v>92</v>
      </c>
      <c r="F88" t="s">
        <v>2440</v>
      </c>
      <c r="G88" s="14" t="s">
        <v>2498</v>
      </c>
      <c r="H88" s="14">
        <v>1746</v>
      </c>
      <c r="J88" t="str">
        <f>HYPERLINK("https://jicheng.tw/tcm/book/%e8%84%88%e7%a2%ba/index.html")</f>
        <v>https://jicheng.tw/tcm/book/%e8%84%88%e7%a2%ba/index.html</v>
      </c>
    </row>
    <row r="89" spans="1:10">
      <c r="A89" s="10" t="s">
        <v>76</v>
      </c>
      <c r="B89" s="10" t="s">
        <v>88</v>
      </c>
      <c r="C89" s="10"/>
      <c r="D89" t="s">
        <v>1461</v>
      </c>
      <c r="E89" t="s">
        <v>93</v>
      </c>
      <c r="F89" t="s">
        <v>2357</v>
      </c>
      <c r="G89" s="14" t="s">
        <v>2495</v>
      </c>
      <c r="H89" s="14">
        <v>1564</v>
      </c>
      <c r="J89" t="str">
        <f>HYPERLINK("https://jicheng.tw/tcm/book/%e7%80%95%e6%b9%96%e8%84%88%e5%ad%b8/index.html")</f>
        <v>https://jicheng.tw/tcm/book/%e7%80%95%e6%b9%96%e8%84%88%e5%ad%b8/index.html</v>
      </c>
    </row>
    <row r="90" spans="1:10">
      <c r="A90" s="10" t="s">
        <v>76</v>
      </c>
      <c r="B90" s="10" t="s">
        <v>88</v>
      </c>
      <c r="C90" s="10"/>
      <c r="D90" t="s">
        <v>1462</v>
      </c>
      <c r="E90" t="s">
        <v>94</v>
      </c>
      <c r="I90" t="s">
        <v>2441</v>
      </c>
      <c r="J90" t="str">
        <f>HYPERLINK("https://jicheng.tw/tcm/book/%e7%80%95%e6%b9%96%e8%84%88%e5%ad%b8%e8%84%88%e8%a8%a3/index.html")</f>
        <v>https://jicheng.tw/tcm/book/%e7%80%95%e6%b9%96%e8%84%88%e5%ad%b8%e8%84%88%e8%a8%a3/index.html</v>
      </c>
    </row>
    <row r="91" spans="1:10">
      <c r="A91" s="10" t="s">
        <v>76</v>
      </c>
      <c r="B91" s="10" t="s">
        <v>88</v>
      </c>
      <c r="C91" s="10"/>
      <c r="D91" t="s">
        <v>95</v>
      </c>
      <c r="E91" t="s">
        <v>95</v>
      </c>
      <c r="F91" t="s">
        <v>2442</v>
      </c>
      <c r="G91" s="14" t="s">
        <v>2498</v>
      </c>
      <c r="H91" s="14">
        <v>1891</v>
      </c>
      <c r="J91" t="str">
        <f>HYPERLINK("https://jicheng.tw/tcm/book/%e8%84%88%e8%a8%a3%e4%b9%b3%e6%b5%b7/index.html")</f>
        <v>https://jicheng.tw/tcm/book/%e8%84%88%e8%a8%a3%e4%b9%b3%e6%b5%b7/index.html</v>
      </c>
    </row>
    <row r="92" spans="1:10">
      <c r="A92" s="10" t="s">
        <v>76</v>
      </c>
      <c r="B92" s="10" t="s">
        <v>88</v>
      </c>
      <c r="C92" s="10"/>
      <c r="D92" t="s">
        <v>96</v>
      </c>
      <c r="E92" t="s">
        <v>96</v>
      </c>
      <c r="F92" t="s">
        <v>2443</v>
      </c>
      <c r="G92" s="14" t="s">
        <v>2495</v>
      </c>
      <c r="J92" t="str">
        <f>HYPERLINK("https://jicheng.tw/tcm/book/%e8%a8%82%e6%ad%a3%e5%a4%aa%e7%b4%a0%e8%84%88%e7%a7%98%e8%a8%a3/index.html")</f>
        <v>https://jicheng.tw/tcm/book/%e8%a8%82%e6%ad%a3%e5%a4%aa%e7%b4%a0%e8%84%88%e7%a7%98%e8%a8%a3/index.html</v>
      </c>
    </row>
    <row r="93" spans="1:10">
      <c r="A93" s="10" t="s">
        <v>76</v>
      </c>
      <c r="B93" s="10" t="s">
        <v>88</v>
      </c>
      <c r="C93" s="10"/>
      <c r="D93" t="s">
        <v>1463</v>
      </c>
      <c r="E93" t="s">
        <v>97</v>
      </c>
      <c r="F93" t="s">
        <v>2444</v>
      </c>
      <c r="G93" s="14" t="s">
        <v>2498</v>
      </c>
      <c r="H93" s="14">
        <v>1664</v>
      </c>
      <c r="J93" t="str">
        <f>HYPERLINK("https://jicheng.tw/tcm/book/%e8%84%88%e8%a8%a3%e5%bd%99%e8%be%a8/index.html")</f>
        <v>https://jicheng.tw/tcm/book/%e8%84%88%e8%a8%a3%e5%bd%99%e8%be%a8/index.html</v>
      </c>
    </row>
    <row r="94" spans="1:10">
      <c r="A94" s="10" t="s">
        <v>76</v>
      </c>
      <c r="B94" s="10" t="s">
        <v>88</v>
      </c>
      <c r="C94" s="10"/>
      <c r="D94" t="s">
        <v>1464</v>
      </c>
      <c r="E94" t="s">
        <v>98</v>
      </c>
      <c r="F94" t="s">
        <v>2357</v>
      </c>
      <c r="G94" s="14" t="s">
        <v>2502</v>
      </c>
      <c r="J94" t="str">
        <f>HYPERLINK("https://jicheng.tw/tcm/book/%e8%84%88%e8%a8%a3%e8%80%83%e8%ad%89/index.html")</f>
        <v>https://jicheng.tw/tcm/book/%e8%84%88%e8%a8%a3%e8%80%83%e8%ad%89/index.html</v>
      </c>
    </row>
    <row r="95" spans="1:10">
      <c r="A95" s="10" t="s">
        <v>76</v>
      </c>
      <c r="B95" s="10" t="s">
        <v>88</v>
      </c>
      <c r="C95" s="10"/>
      <c r="D95" t="s">
        <v>99</v>
      </c>
      <c r="E95" t="s">
        <v>99</v>
      </c>
      <c r="F95" t="s">
        <v>2360</v>
      </c>
      <c r="G95" s="14" t="s">
        <v>2502</v>
      </c>
      <c r="H95" s="14">
        <v>1642</v>
      </c>
      <c r="J95" t="str">
        <f>HYPERLINK("https://jicheng.tw/tcm/book/%e8%a8%ba%e5%ae%b6%e6%ad%a3%e7%9c%bc/index.html")</f>
        <v>https://jicheng.tw/tcm/book/%e8%a8%ba%e5%ae%b6%e6%ad%a3%e7%9c%bc/index.html</v>
      </c>
    </row>
    <row r="96" spans="1:10">
      <c r="A96" s="10" t="s">
        <v>76</v>
      </c>
      <c r="B96" s="10" t="s">
        <v>88</v>
      </c>
      <c r="C96" s="10"/>
      <c r="D96" t="s">
        <v>1465</v>
      </c>
      <c r="E96" t="s">
        <v>100</v>
      </c>
      <c r="F96" t="s">
        <v>2445</v>
      </c>
      <c r="G96" s="14" t="s">
        <v>2498</v>
      </c>
      <c r="H96" s="14">
        <v>1827</v>
      </c>
      <c r="J96" t="str">
        <f>HYPERLINK("https://jicheng.tw/tcm/book/%e4%b8%89%e6%8c%87%e7%a6%aa/index.html")</f>
        <v>https://jicheng.tw/tcm/book/%e4%b8%89%e6%8c%87%e7%a6%aa/index.html</v>
      </c>
    </row>
    <row r="97" spans="1:10">
      <c r="A97" s="10" t="s">
        <v>76</v>
      </c>
      <c r="B97" s="10" t="s">
        <v>88</v>
      </c>
      <c r="C97" s="10"/>
      <c r="D97" t="s">
        <v>101</v>
      </c>
      <c r="E97" t="s">
        <v>101</v>
      </c>
      <c r="F97" t="s">
        <v>2406</v>
      </c>
      <c r="G97" s="14" t="s">
        <v>2498</v>
      </c>
      <c r="H97" s="14">
        <v>1689</v>
      </c>
      <c r="J97" t="str">
        <f>HYPERLINK("https://jicheng.tw/tcm/book/%e8%a8%ba%e5%ae%97%e4%b8%89%e6%98%a7/index.html")</f>
        <v>https://jicheng.tw/tcm/book/%e8%a8%ba%e5%ae%97%e4%b8%89%e6%98%a7/index.html</v>
      </c>
    </row>
    <row r="98" spans="1:10">
      <c r="A98" s="10" t="s">
        <v>76</v>
      </c>
      <c r="B98" s="10" t="s">
        <v>88</v>
      </c>
      <c r="C98" s="10"/>
      <c r="D98" t="s">
        <v>1466</v>
      </c>
      <c r="E98" t="s">
        <v>102</v>
      </c>
      <c r="F98" t="s">
        <v>2382</v>
      </c>
      <c r="G98" s="14" t="s">
        <v>2503</v>
      </c>
      <c r="H98" s="14">
        <v>1359</v>
      </c>
      <c r="J98" t="str">
        <f>HYPERLINK("https://jicheng.tw/tcm/book/%e8%a8%ba%e5%ae%b6%e6%a8%9e%e8%a6%81/index.html")</f>
        <v>https://jicheng.tw/tcm/book/%e8%a8%ba%e5%ae%b6%e6%a8%9e%e8%a6%81/index.html</v>
      </c>
    </row>
    <row r="99" spans="1:10">
      <c r="A99" s="10" t="s">
        <v>76</v>
      </c>
      <c r="B99" s="10" t="s">
        <v>88</v>
      </c>
      <c r="C99" s="10"/>
      <c r="D99" t="s">
        <v>103</v>
      </c>
      <c r="E99" t="s">
        <v>103</v>
      </c>
      <c r="F99" t="s">
        <v>2427</v>
      </c>
      <c r="G99" s="14" t="s">
        <v>2498</v>
      </c>
      <c r="H99" s="14">
        <v>1769</v>
      </c>
      <c r="J99" t="str">
        <f>HYPERLINK("https://jicheng.tw/tcm/book/%e8%84%88%e7%90%86%e6%b1%82%e7%9c%9f/index.html")</f>
        <v>https://jicheng.tw/tcm/book/%e8%84%88%e7%90%86%e6%b1%82%e7%9c%9f/index.html</v>
      </c>
    </row>
    <row r="100" spans="1:10">
      <c r="A100" s="10" t="s">
        <v>76</v>
      </c>
      <c r="B100" s="10" t="s">
        <v>88</v>
      </c>
      <c r="C100" s="10"/>
      <c r="D100" t="s">
        <v>104</v>
      </c>
      <c r="E100" t="s">
        <v>104</v>
      </c>
      <c r="F100" t="s">
        <v>2383</v>
      </c>
      <c r="G100" s="14" t="s">
        <v>2496</v>
      </c>
      <c r="H100" s="14">
        <v>1189</v>
      </c>
      <c r="J100" t="str">
        <f>HYPERLINK("https://jicheng.tw/tcm/book/%e8%84%88%e8%a8%a3/index.html")</f>
        <v>https://jicheng.tw/tcm/book/%e8%84%88%e8%a8%a3/index.html</v>
      </c>
    </row>
    <row r="101" spans="1:10">
      <c r="A101" s="10" t="s">
        <v>76</v>
      </c>
      <c r="B101" s="10" t="s">
        <v>88</v>
      </c>
      <c r="C101" s="10"/>
      <c r="D101" t="s">
        <v>105</v>
      </c>
      <c r="E101" t="s">
        <v>105</v>
      </c>
      <c r="F101" t="s">
        <v>2384</v>
      </c>
      <c r="G101" s="14" t="s">
        <v>2503</v>
      </c>
      <c r="J101" t="str">
        <f>HYPERLINK("https://jicheng.tw/tcm/book/%e8%84%88%e8%a8%a3%e5%88%8a%e8%aa%a4/index.html")</f>
        <v>https://jicheng.tw/tcm/book/%e8%84%88%e8%a8%a3%e5%88%8a%e8%aa%a4/index.html</v>
      </c>
    </row>
    <row r="102" spans="1:10">
      <c r="A102" s="10" t="s">
        <v>76</v>
      </c>
      <c r="B102" s="10" t="s">
        <v>88</v>
      </c>
      <c r="C102" s="10"/>
      <c r="D102" t="s">
        <v>106</v>
      </c>
      <c r="E102" t="s">
        <v>106</v>
      </c>
      <c r="F102" t="s">
        <v>2446</v>
      </c>
      <c r="G102" s="14" t="s">
        <v>2498</v>
      </c>
      <c r="H102" s="14">
        <v>1773</v>
      </c>
      <c r="J102" t="str">
        <f>HYPERLINK("https://jicheng.tw/tcm/book/%e8%84%88%e8%b1%a1%e7%b5%b1%e9%a1%9e/index.html")</f>
        <v>https://jicheng.tw/tcm/book/%e8%84%88%e8%b1%a1%e7%b5%b1%e9%a1%9e/index.html</v>
      </c>
    </row>
    <row r="103" spans="1:10">
      <c r="A103" s="10" t="s">
        <v>76</v>
      </c>
      <c r="B103" s="10" t="s">
        <v>88</v>
      </c>
      <c r="C103" s="10"/>
      <c r="D103" t="s">
        <v>107</v>
      </c>
      <c r="E103" t="s">
        <v>107</v>
      </c>
      <c r="F103" t="s">
        <v>2446</v>
      </c>
      <c r="G103" s="14" t="s">
        <v>2498</v>
      </c>
      <c r="H103" s="14" t="s">
        <v>2494</v>
      </c>
      <c r="J103" t="str">
        <f>HYPERLINK("https://jicheng.tw/tcm/book/%e8%ab%b8%e8%84%88%e4%b8%bb%e7%97%85%e8%a9%a9/index.html")</f>
        <v>https://jicheng.tw/tcm/book/%e8%ab%b8%e8%84%88%e4%b8%bb%e7%97%85%e8%a9%a9/index.html</v>
      </c>
    </row>
    <row r="104" spans="1:10">
      <c r="A104" s="10" t="s">
        <v>76</v>
      </c>
      <c r="B104" s="10" t="s">
        <v>88</v>
      </c>
      <c r="C104" s="10"/>
      <c r="D104" t="s">
        <v>1467</v>
      </c>
      <c r="E104" t="s">
        <v>108</v>
      </c>
      <c r="F104" t="s">
        <v>2447</v>
      </c>
      <c r="G104" s="14" t="s">
        <v>2498</v>
      </c>
      <c r="J104" t="str">
        <f>HYPERLINK("https://jicheng.tw/tcm/book/%e8%84%88%e7%b6%93%e9%88%94/index.html")</f>
        <v>https://jicheng.tw/tcm/book/%e8%84%88%e7%b6%93%e9%88%94/index.html</v>
      </c>
    </row>
    <row r="105" spans="1:10">
      <c r="A105" s="10" t="s">
        <v>76</v>
      </c>
      <c r="B105" s="10" t="s">
        <v>88</v>
      </c>
      <c r="C105" s="10"/>
      <c r="D105" t="s">
        <v>109</v>
      </c>
      <c r="E105" t="s">
        <v>109</v>
      </c>
      <c r="F105" t="s">
        <v>2448</v>
      </c>
      <c r="G105" s="14" t="s">
        <v>2518</v>
      </c>
      <c r="H105" s="14">
        <v>1941</v>
      </c>
      <c r="J105" t="str">
        <f>HYPERLINK("https://jicheng.tw/tcm/book/%e8%84%88%e8%a8%a3%e6%96%b0%e7%b7%a8/index.html")</f>
        <v>https://jicheng.tw/tcm/book/%e8%84%88%e8%a8%a3%e6%96%b0%e7%b7%a8/index.html</v>
      </c>
    </row>
    <row r="106" spans="1:10">
      <c r="A106" s="10" t="s">
        <v>76</v>
      </c>
      <c r="B106" s="10" t="s">
        <v>88</v>
      </c>
      <c r="C106" s="10"/>
      <c r="D106" t="s">
        <v>1468</v>
      </c>
      <c r="E106" t="s">
        <v>110</v>
      </c>
      <c r="F106" t="s">
        <v>2449</v>
      </c>
      <c r="G106" s="14" t="s">
        <v>2498</v>
      </c>
      <c r="H106" s="14">
        <v>1749</v>
      </c>
      <c r="J106" t="str">
        <f>HYPERLINK("https://jicheng.tw/tcm/book/%e9%86%ab%e5%ad%b8%e8%84%88%e7%87%88/index.html")</f>
        <v>https://jicheng.tw/tcm/book/%e9%86%ab%e5%ad%b8%e8%84%88%e7%87%88/index.html</v>
      </c>
    </row>
    <row r="107" spans="1:10">
      <c r="A107" s="10" t="s">
        <v>76</v>
      </c>
      <c r="B107" s="10" t="s">
        <v>88</v>
      </c>
      <c r="C107" s="10"/>
      <c r="D107" t="s">
        <v>111</v>
      </c>
      <c r="E107" t="s">
        <v>111</v>
      </c>
      <c r="F107" t="s">
        <v>2450</v>
      </c>
      <c r="G107" s="14" t="s">
        <v>2495</v>
      </c>
      <c r="J107" t="str">
        <f>HYPERLINK("https://jicheng.tw/tcm/book/%e8%84%88%e7%90%86%e9%9b%86%e8%a6%81/index.html")</f>
        <v>https://jicheng.tw/tcm/book/%e8%84%88%e7%90%86%e9%9b%86%e8%a6%81/index.html</v>
      </c>
    </row>
    <row r="108" spans="1:10">
      <c r="A108" s="10" t="s">
        <v>76</v>
      </c>
      <c r="B108" s="10" t="s">
        <v>88</v>
      </c>
      <c r="C108" s="10"/>
      <c r="D108" t="s">
        <v>1469</v>
      </c>
      <c r="E108" t="s">
        <v>112</v>
      </c>
      <c r="F108" t="s">
        <v>2383</v>
      </c>
      <c r="G108" s="14" t="s">
        <v>2496</v>
      </c>
      <c r="J108" t="str">
        <f>HYPERLINK("https://jicheng.tw/tcm/book/%e8%84%88%e5%ad%b8%e9%a1%9e%e7%b7%a8/index.html")</f>
        <v>https://jicheng.tw/tcm/book/%e8%84%88%e5%ad%b8%e9%a1%9e%e7%b7%a8/index.html</v>
      </c>
    </row>
    <row r="109" spans="1:10">
      <c r="A109" s="10" t="s">
        <v>76</v>
      </c>
      <c r="B109" s="10" t="s">
        <v>88</v>
      </c>
      <c r="C109" s="10"/>
      <c r="D109" t="s">
        <v>113</v>
      </c>
      <c r="E109" t="s">
        <v>113</v>
      </c>
      <c r="F109" t="s">
        <v>2451</v>
      </c>
      <c r="G109" s="14" t="s">
        <v>2498</v>
      </c>
      <c r="H109" s="14">
        <v>1710</v>
      </c>
      <c r="J109" t="str">
        <f>HYPERLINK("https://jicheng.tw/tcm/book/%e8%84%88%e8%b2%ab/index.html")</f>
        <v>https://jicheng.tw/tcm/book/%e8%84%88%e8%b2%ab/index.html</v>
      </c>
    </row>
    <row r="110" spans="1:10">
      <c r="A110" s="10" t="s">
        <v>76</v>
      </c>
      <c r="B110" s="10" t="s">
        <v>88</v>
      </c>
      <c r="C110" s="10"/>
      <c r="D110" t="s">
        <v>1470</v>
      </c>
      <c r="E110" t="s">
        <v>114</v>
      </c>
      <c r="F110" t="s">
        <v>2504</v>
      </c>
      <c r="G110" s="14" t="s">
        <v>2498</v>
      </c>
      <c r="J110" t="str">
        <f>HYPERLINK("https://jicheng.tw/tcm/book/%e8%84%88%e5%ad%b8%e8%bc%af%e8%a6%81/index.html")</f>
        <v>https://jicheng.tw/tcm/book/%e8%84%88%e5%ad%b8%e8%bc%af%e8%a6%81/index.html</v>
      </c>
    </row>
    <row r="111" spans="1:10">
      <c r="A111" s="10" t="s">
        <v>76</v>
      </c>
      <c r="B111" s="10" t="s">
        <v>88</v>
      </c>
      <c r="C111" s="10"/>
      <c r="D111" t="s">
        <v>115</v>
      </c>
      <c r="E111" t="s">
        <v>115</v>
      </c>
      <c r="F111" t="s">
        <v>2505</v>
      </c>
      <c r="G111" s="14" t="s">
        <v>2498</v>
      </c>
      <c r="H111" s="14">
        <v>1891</v>
      </c>
      <c r="J111" t="str">
        <f>HYPERLINK("https://jicheng.tw/tcm/book/%e8%84%88%e7%be%a9%e7%b0%a1%e6%91%a9/index.html")</f>
        <v>https://jicheng.tw/tcm/book/%e8%84%88%e7%be%a9%e7%b0%a1%e6%91%a9/index.html</v>
      </c>
    </row>
    <row r="112" spans="1:10">
      <c r="A112" s="10" t="s">
        <v>76</v>
      </c>
      <c r="B112" s="10" t="s">
        <v>88</v>
      </c>
      <c r="C112" s="10"/>
      <c r="D112" t="s">
        <v>116</v>
      </c>
      <c r="E112" t="s">
        <v>116</v>
      </c>
      <c r="F112" t="s">
        <v>2394</v>
      </c>
      <c r="G112" s="14" t="s">
        <v>2498</v>
      </c>
      <c r="H112" s="14">
        <v>1892</v>
      </c>
      <c r="J112" t="str">
        <f>HYPERLINK("https://jicheng.tw/tcm/book/%e8%84%88%e7%b0%a1%e8%a3%9c%e7%be%a9/index.html")</f>
        <v>https://jicheng.tw/tcm/book/%e8%84%88%e7%b0%a1%e8%a3%9c%e7%be%a9/index.html</v>
      </c>
    </row>
    <row r="113" spans="1:10">
      <c r="A113" s="10" t="s">
        <v>76</v>
      </c>
      <c r="B113" s="10" t="s">
        <v>88</v>
      </c>
      <c r="C113" s="10"/>
      <c r="D113" t="s">
        <v>1471</v>
      </c>
      <c r="E113" t="s">
        <v>117</v>
      </c>
      <c r="F113" t="s">
        <v>2394</v>
      </c>
      <c r="G113" s="14" t="s">
        <v>2498</v>
      </c>
      <c r="H113" s="14">
        <v>1891</v>
      </c>
      <c r="J113" t="str">
        <f>HYPERLINK("https://jicheng.tw/tcm/book/%e8%be%a8%e8%84%88%e5%b9%b3%e8%84%88%e7%ab%a0%e5%8f%a5/index.html")</f>
        <v>https://jicheng.tw/tcm/book/%e8%be%a8%e8%84%88%e5%b9%b3%e8%84%88%e7%ab%a0%e5%8f%a5/index.html</v>
      </c>
    </row>
    <row r="114" spans="1:10">
      <c r="A114" s="10" t="s">
        <v>76</v>
      </c>
      <c r="B114" s="10" t="s">
        <v>88</v>
      </c>
      <c r="C114" s="10"/>
      <c r="D114" t="s">
        <v>118</v>
      </c>
      <c r="E114" t="s">
        <v>118</v>
      </c>
      <c r="F114" t="s">
        <v>2426</v>
      </c>
      <c r="G114" s="14" t="s">
        <v>2506</v>
      </c>
      <c r="J114" t="str">
        <f>HYPERLINK("https://jicheng.tw/tcm/book/%e8%84%88%e8%a8%a3%e9%97%a1%e5%be%ae/index.html")</f>
        <v>https://jicheng.tw/tcm/book/%e8%84%88%e8%a8%a3%e9%97%a1%e5%be%ae/index.html</v>
      </c>
    </row>
    <row r="115" spans="1:10">
      <c r="A115" s="10" t="s">
        <v>76</v>
      </c>
      <c r="B115" s="10" t="s">
        <v>88</v>
      </c>
      <c r="C115" s="10"/>
      <c r="D115" t="s">
        <v>119</v>
      </c>
      <c r="E115" t="s">
        <v>119</v>
      </c>
      <c r="F115" t="s">
        <v>2426</v>
      </c>
      <c r="G115" s="14" t="s">
        <v>2506</v>
      </c>
      <c r="J115" t="str">
        <f>HYPERLINK("https://jicheng.tw/tcm/book/%e8%84%88%e8%a8%a3%e9%97%a1%e5%be%ae%5f%31/index.html")</f>
        <v>https://jicheng.tw/tcm/book/%e8%84%88%e8%a8%a3%e9%97%a1%e5%be%ae%5f%31/index.html</v>
      </c>
    </row>
    <row r="116" spans="1:10">
      <c r="A116" s="10" t="s">
        <v>76</v>
      </c>
      <c r="B116" s="10" t="s">
        <v>88</v>
      </c>
      <c r="C116" s="10"/>
      <c r="D116" t="s">
        <v>120</v>
      </c>
      <c r="E116" t="s">
        <v>120</v>
      </c>
      <c r="F116" t="s">
        <v>2452</v>
      </c>
      <c r="G116" s="14" t="s">
        <v>2495</v>
      </c>
      <c r="H116" s="14">
        <v>1584</v>
      </c>
      <c r="J116" t="str">
        <f>HYPERLINK("https://jicheng.tw/tcm/book/%e8%84%88%e8%aa%9e/index.html")</f>
        <v>https://jicheng.tw/tcm/book/%e8%84%88%e8%aa%9e/index.html</v>
      </c>
    </row>
    <row r="117" spans="1:10">
      <c r="A117" s="10" t="s">
        <v>76</v>
      </c>
      <c r="B117" s="10" t="s">
        <v>88</v>
      </c>
      <c r="C117" s="10"/>
      <c r="D117" t="s">
        <v>1472</v>
      </c>
      <c r="E117" t="s">
        <v>121</v>
      </c>
      <c r="F117" t="s">
        <v>2453</v>
      </c>
      <c r="G117" s="14" t="s">
        <v>2506</v>
      </c>
      <c r="J117" t="str">
        <f>HYPERLINK("https://jicheng.tw/tcm/book/%e4%b8%b9%e6%ba%aa%e8%84%88%e8%a8%a3%e6%8c%87%e6%8e%8c/index.html")</f>
        <v>https://jicheng.tw/tcm/book/%e4%b8%b9%e6%ba%aa%e8%84%88%e8%a8%a3%e6%8c%87%e6%8e%8c/index.html</v>
      </c>
    </row>
    <row r="118" spans="1:10">
      <c r="A118" s="10" t="s">
        <v>76</v>
      </c>
      <c r="B118" s="10" t="s">
        <v>88</v>
      </c>
      <c r="C118" s="10"/>
      <c r="D118" t="s">
        <v>122</v>
      </c>
      <c r="E118" t="s">
        <v>122</v>
      </c>
      <c r="F118" t="s">
        <v>2454</v>
      </c>
      <c r="G118" s="14" t="s">
        <v>2506</v>
      </c>
      <c r="J118" t="str">
        <f>HYPERLINK("https://jicheng.tw/tcm/book/%e9%87%8d%e8%a8%82%e6%99%82%e8%a1%8c%e4%bc%8f%e9%99%b0%e8%8a%bb%e8%a8%80/index.html")</f>
        <v>https://jicheng.tw/tcm/book/%e9%87%8d%e8%a8%82%e6%99%82%e8%a1%8c%e4%bc%8f%e9%99%b0%e8%8a%bb%e8%a8%80/index.html</v>
      </c>
    </row>
    <row r="119" spans="1:10">
      <c r="A119" s="10" t="s">
        <v>76</v>
      </c>
      <c r="B119" s="10" t="s">
        <v>88</v>
      </c>
      <c r="C119" s="10"/>
      <c r="D119" t="s">
        <v>1473</v>
      </c>
      <c r="E119" t="s">
        <v>123</v>
      </c>
      <c r="F119" t="s">
        <v>2455</v>
      </c>
      <c r="G119" s="14" t="s">
        <v>2506</v>
      </c>
      <c r="J119" t="str">
        <f>HYPERLINK("https://jicheng.tw/tcm/book/%e8%a8%ba%e8%84%88%e4%b8%89%e5%8d%81%e4%ba%8c%e8%be%a8/index.html")</f>
        <v>https://jicheng.tw/tcm/book/%e8%a8%ba%e8%84%88%e4%b8%89%e5%8d%81%e4%ba%8c%e8%be%a8/index.html</v>
      </c>
    </row>
    <row r="120" spans="1:10">
      <c r="A120" s="10" t="s">
        <v>76</v>
      </c>
      <c r="B120" s="10" t="s">
        <v>88</v>
      </c>
      <c r="C120" s="10"/>
      <c r="D120" t="s">
        <v>1474</v>
      </c>
      <c r="E120" t="s">
        <v>124</v>
      </c>
      <c r="F120" t="s">
        <v>2455</v>
      </c>
      <c r="G120" s="14" t="s">
        <v>2506</v>
      </c>
      <c r="J120" t="str">
        <f>HYPERLINK("https://jicheng.tw/tcm/book/%e8%a8%ba%e8%84%88%e4%b8%89%e5%8d%81%e4%ba%8c%e8%be%a8%5f%31/index.html")</f>
        <v>https://jicheng.tw/tcm/book/%e8%a8%ba%e8%84%88%e4%b8%89%e5%8d%81%e4%ba%8c%e8%be%a8%5f%31/index.html</v>
      </c>
    </row>
    <row r="121" spans="1:10">
      <c r="A121" s="10" t="s">
        <v>76</v>
      </c>
      <c r="B121" s="10" t="s">
        <v>88</v>
      </c>
      <c r="C121" s="10"/>
      <c r="D121" t="s">
        <v>1475</v>
      </c>
      <c r="E121" t="s">
        <v>125</v>
      </c>
      <c r="F121" t="s">
        <v>2456</v>
      </c>
      <c r="G121" s="14" t="s">
        <v>2457</v>
      </c>
      <c r="J121" t="str">
        <f>HYPERLINK("https://jicheng.tw/tcm/book/%e9%86%ab%e5%ad%b8%e7%9c%9f%e7%b6%93%e5%af%9f%e8%84%88%e7%b8%bd%e6%8b%ac/index.html")</f>
        <v>https://jicheng.tw/tcm/book/%e9%86%ab%e5%ad%b8%e7%9c%9f%e7%b6%93%e5%af%9f%e8%84%88%e7%b8%bd%e6%8b%ac/index.html</v>
      </c>
    </row>
    <row r="122" spans="1:10">
      <c r="A122" s="10" t="s">
        <v>76</v>
      </c>
      <c r="B122" s="10" t="s">
        <v>88</v>
      </c>
      <c r="C122" s="10"/>
      <c r="D122" t="s">
        <v>1476</v>
      </c>
      <c r="E122" t="s">
        <v>126</v>
      </c>
      <c r="G122" s="14" t="s">
        <v>2495</v>
      </c>
      <c r="H122" s="14">
        <v>1599</v>
      </c>
      <c r="J122" t="str">
        <f>HYPERLINK("https://jicheng.tw/tcm/book/%e9%8d%a5%e7%8e%8b%e6%b0%8f%e7%a7%98%e5%82%b3%e5%8f%94%e5%92%8c%e5%9c%96%e6%b3%a8%e9%87%8b%e7%be%a9%e8%84%89%e8%a8%a3%e8%a9%95%e6%9e%97%e6%8d%b7%e5%be%91%e7%b5%b1%e5%ae%97/index.html")</f>
        <v>https://jicheng.tw/tcm/book/%e9%8d%a5%e7%8e%8b%e6%b0%8f%e7%a7%98%e5%82%b3%e5%8f%94%e5%92%8c%e5%9c%96%e6%b3%a8%e9%87%8b%e7%be%a9%e8%84%89%e8%a8%a3%e8%a9%95%e6%9e%97%e6%8d%b7%e5%be%91%e7%b5%b1%e5%ae%97/index.html</v>
      </c>
    </row>
    <row r="123" spans="1:10">
      <c r="A123" s="10" t="s">
        <v>76</v>
      </c>
      <c r="B123" s="10" t="s">
        <v>88</v>
      </c>
      <c r="C123" s="10"/>
      <c r="D123" t="s">
        <v>1477</v>
      </c>
      <c r="E123" t="s">
        <v>127</v>
      </c>
      <c r="F123" t="s">
        <v>2458</v>
      </c>
      <c r="G123" s="14" t="s">
        <v>2495</v>
      </c>
      <c r="J123" t="str">
        <f>HYPERLINK("https://jicheng.tw/tcm/book/%e6%96%b0%e5%88%8a%e5%8b%bf%e8%81%bd%e5%ad%90%e4%bf%97%e8%a7%a3%e8%84%88%e8%a8%a3/index.html")</f>
        <v>https://jicheng.tw/tcm/book/%e6%96%b0%e5%88%8a%e5%8b%bf%e8%81%bd%e5%ad%90%e4%bf%97%e8%a7%a3%e8%84%88%e8%a8%a3/index.html</v>
      </c>
    </row>
    <row r="124" spans="1:10">
      <c r="A124" s="10" t="s">
        <v>76</v>
      </c>
      <c r="B124" s="10" t="s">
        <v>88</v>
      </c>
      <c r="C124" s="10"/>
      <c r="D124" t="s">
        <v>128</v>
      </c>
      <c r="E124" t="s">
        <v>128</v>
      </c>
      <c r="F124" t="s">
        <v>2459</v>
      </c>
      <c r="G124" s="14" t="s">
        <v>2495</v>
      </c>
      <c r="J124" t="str">
        <f>HYPERLINK("https://jicheng.tw/tcm/book/%e6%96%b0%e7%b7%a8%e8%a8%ba%e8%84%88%e9%a0%88%e7%9f%a5/index.html")</f>
        <v>https://jicheng.tw/tcm/book/%e6%96%b0%e7%b7%a8%e8%a8%ba%e8%84%88%e9%a0%88%e7%9f%a5/index.html</v>
      </c>
    </row>
    <row r="125" spans="1:10">
      <c r="A125" s="10" t="s">
        <v>76</v>
      </c>
      <c r="B125" s="10" t="s">
        <v>88</v>
      </c>
      <c r="C125" s="10"/>
      <c r="D125" t="s">
        <v>1478</v>
      </c>
      <c r="E125" t="s">
        <v>129</v>
      </c>
      <c r="F125" t="s">
        <v>2460</v>
      </c>
      <c r="G125" s="14" t="s">
        <v>2495</v>
      </c>
      <c r="J125" t="str">
        <f>HYPERLINK("https://jicheng.tw/tcm/book/%e5%9c%96%e8%a8%bb%e7%8e%8b%e5%8f%94%e5%92%8c%e8%84%88%e8%a8%a3/index.html")</f>
        <v>https://jicheng.tw/tcm/book/%e5%9c%96%e8%a8%bb%e7%8e%8b%e5%8f%94%e5%92%8c%e8%84%88%e8%a8%a3/index.html</v>
      </c>
    </row>
    <row r="126" spans="1:10">
      <c r="A126" s="10" t="s">
        <v>76</v>
      </c>
      <c r="B126" s="10" t="s">
        <v>130</v>
      </c>
      <c r="C126" s="10"/>
      <c r="D126" t="s">
        <v>131</v>
      </c>
      <c r="E126" t="s">
        <v>131</v>
      </c>
      <c r="F126" t="s">
        <v>2394</v>
      </c>
      <c r="G126" s="14" t="s">
        <v>2506</v>
      </c>
      <c r="H126" s="14">
        <v>1894</v>
      </c>
      <c r="J126" t="str">
        <f>HYPERLINK("https://jicheng.tw/tcm/book/%e5%bd%a2%e8%89%b2%e5%a4%96%e8%a8%ba%e7%b0%a1%e6%91%a9/index.html")</f>
        <v>https://jicheng.tw/tcm/book/%e5%bd%a2%e8%89%b2%e5%a4%96%e8%a8%ba%e7%b0%a1%e6%91%a9/index.html</v>
      </c>
    </row>
    <row r="127" spans="1:10">
      <c r="A127" s="10" t="s">
        <v>76</v>
      </c>
      <c r="B127" s="10" t="s">
        <v>130</v>
      </c>
      <c r="C127" s="10"/>
      <c r="D127" t="s">
        <v>1479</v>
      </c>
      <c r="E127" t="s">
        <v>132</v>
      </c>
      <c r="F127" t="s">
        <v>2461</v>
      </c>
      <c r="G127" s="14" t="s">
        <v>2506</v>
      </c>
      <c r="H127" s="14">
        <v>1875</v>
      </c>
      <c r="J127" t="str">
        <f>HYPERLINK("https://jicheng.tw/tcm/book/%e6%9c%9b%e8%a8%ba%e9%81%b5%e7%b6%93/index.html")</f>
        <v>https://jicheng.tw/tcm/book/%e6%9c%9b%e8%a8%ba%e9%81%b5%e7%b6%93/index.html</v>
      </c>
    </row>
    <row r="128" spans="1:10">
      <c r="A128" s="10" t="s">
        <v>76</v>
      </c>
      <c r="B128" s="10" t="s">
        <v>133</v>
      </c>
      <c r="C128" s="10"/>
      <c r="D128" t="s">
        <v>1480</v>
      </c>
      <c r="E128" t="s">
        <v>134</v>
      </c>
      <c r="F128" t="s">
        <v>2462</v>
      </c>
      <c r="G128" s="14" t="s">
        <v>2503</v>
      </c>
      <c r="H128" s="14">
        <v>1341</v>
      </c>
      <c r="J128" t="str">
        <f>HYPERLINK("https://jicheng.tw/tcm/book/%e6%95%96%e6%b0%8f%e5%82%b7%e5%af%92%e9%87%91%e9%8f%a1%e9%8c%84/index.html")</f>
        <v>https://jicheng.tw/tcm/book/%e6%95%96%e6%b0%8f%e5%82%b7%e5%af%92%e9%87%91%e9%8f%a1%e9%8c%84/index.html</v>
      </c>
    </row>
    <row r="129" spans="1:10">
      <c r="A129" s="10" t="s">
        <v>76</v>
      </c>
      <c r="B129" s="10" t="s">
        <v>133</v>
      </c>
      <c r="C129" s="10"/>
      <c r="D129" t="s">
        <v>1481</v>
      </c>
      <c r="E129" t="s">
        <v>135</v>
      </c>
      <c r="F129" t="s">
        <v>2463</v>
      </c>
      <c r="G129" s="14" t="s">
        <v>2506</v>
      </c>
      <c r="H129" s="14">
        <v>1917</v>
      </c>
      <c r="J129" t="str">
        <f>HYPERLINK("https://jicheng.tw/tcm/book/%e8%87%a8%e7%97%87%e9%a9%97%e8%88%8c%e6%b3%95/index.html")</f>
        <v>https://jicheng.tw/tcm/book/%e8%87%a8%e7%97%87%e9%a9%97%e8%88%8c%e6%b3%95/index.html</v>
      </c>
    </row>
    <row r="130" spans="1:10">
      <c r="A130" s="10" t="s">
        <v>76</v>
      </c>
      <c r="B130" s="10" t="s">
        <v>133</v>
      </c>
      <c r="C130" s="10"/>
      <c r="D130" t="s">
        <v>1482</v>
      </c>
      <c r="E130" t="s">
        <v>136</v>
      </c>
      <c r="F130" t="s">
        <v>2464</v>
      </c>
      <c r="G130" s="14" t="s">
        <v>2506</v>
      </c>
      <c r="H130" s="14">
        <v>1911</v>
      </c>
      <c r="J130" t="str">
        <f>HYPERLINK("https://jicheng.tw/tcm/book/%e5%af%9f%e8%88%8c%e8%be%a8%e7%97%87%e6%96%b0%e6%b3%95/index.html")</f>
        <v>https://jicheng.tw/tcm/book/%e5%af%9f%e8%88%8c%e8%be%a8%e7%97%87%e6%96%b0%e6%b3%95/index.html</v>
      </c>
    </row>
    <row r="131" spans="1:10">
      <c r="A131" s="10" t="s">
        <v>76</v>
      </c>
      <c r="B131" s="10" t="s">
        <v>133</v>
      </c>
      <c r="C131" s="10"/>
      <c r="D131" t="s">
        <v>137</v>
      </c>
      <c r="E131" t="s">
        <v>137</v>
      </c>
      <c r="F131" t="s">
        <v>2465</v>
      </c>
      <c r="G131" s="14" t="s">
        <v>2506</v>
      </c>
      <c r="H131" s="14">
        <v>1668</v>
      </c>
      <c r="J131" t="str">
        <f>HYPERLINK("https://jicheng.tw/tcm/book/%e5%82%b7%e5%af%92%e8%88%8c%e9%91%91/index.html")</f>
        <v>https://jicheng.tw/tcm/book/%e5%82%b7%e5%af%92%e8%88%8c%e9%91%91/index.html</v>
      </c>
    </row>
    <row r="132" spans="1:10">
      <c r="A132" s="10" t="s">
        <v>76</v>
      </c>
      <c r="B132" s="10" t="s">
        <v>133</v>
      </c>
      <c r="C132" s="10"/>
      <c r="D132" t="s">
        <v>138</v>
      </c>
      <c r="E132" t="s">
        <v>138</v>
      </c>
      <c r="F132" t="s">
        <v>2520</v>
      </c>
      <c r="G132" s="14" t="s">
        <v>2519</v>
      </c>
      <c r="H132" s="14">
        <v>1947</v>
      </c>
      <c r="J132" t="str">
        <f>HYPERLINK("https://jicheng.tw/tcm/book/%e8%88%8c%e8%a8%ba%e5%95%8f%e7%ad%94/index.html")</f>
        <v>https://jicheng.tw/tcm/book/%e8%88%8c%e8%a8%ba%e5%95%8f%e7%ad%94/index.html</v>
      </c>
    </row>
    <row r="133" spans="1:10">
      <c r="A133" s="10" t="s">
        <v>76</v>
      </c>
      <c r="B133" s="10" t="s">
        <v>133</v>
      </c>
      <c r="C133" s="10"/>
      <c r="D133" t="s">
        <v>1483</v>
      </c>
      <c r="E133" t="s">
        <v>139</v>
      </c>
      <c r="F133" t="s">
        <v>2466</v>
      </c>
      <c r="G133" s="14" t="s">
        <v>2518</v>
      </c>
      <c r="H133" s="14">
        <v>1916</v>
      </c>
      <c r="J133" t="str">
        <f>HYPERLINK("https://jicheng.tw/tcm/book/%e8%be%a8%e8%88%8c%e6%8c%87%e5%8d%97/index.html")</f>
        <v>https://jicheng.tw/tcm/book/%e8%be%a8%e8%88%8c%e6%8c%87%e5%8d%97/index.html</v>
      </c>
    </row>
    <row r="134" spans="1:10">
      <c r="A134" s="10" t="s">
        <v>140</v>
      </c>
      <c r="B134" s="10" t="s">
        <v>141</v>
      </c>
      <c r="C134" s="10"/>
      <c r="D134" t="s">
        <v>1484</v>
      </c>
      <c r="E134" t="s">
        <v>142</v>
      </c>
      <c r="F134" t="s">
        <v>2380</v>
      </c>
      <c r="G134" s="14" t="s">
        <v>2521</v>
      </c>
      <c r="J134" t="str">
        <f>HYPERLINK("https://jicheng.tw/tcm/book/%e7%a5%9e%e8%be%b2%e6%9c%ac%e8%8d%89%e7%b6%93/index.html")</f>
        <v>https://jicheng.tw/tcm/book/%e7%a5%9e%e8%be%b2%e6%9c%ac%e8%8d%89%e7%b6%93/index.html</v>
      </c>
    </row>
    <row r="135" spans="1:10">
      <c r="A135" s="10" t="s">
        <v>140</v>
      </c>
      <c r="B135" s="10" t="s">
        <v>141</v>
      </c>
      <c r="C135" s="10"/>
      <c r="D135" t="s">
        <v>1485</v>
      </c>
      <c r="E135" t="s">
        <v>143</v>
      </c>
      <c r="G135" s="14" t="s">
        <v>2381</v>
      </c>
      <c r="J135" t="str">
        <f>HYPERLINK("https://jicheng.tw/tcm/book/%e7%a5%9e%e8%be%b2%e6%9c%ac%e8%8d%89%e7%b6%93%5f%31/index.html")</f>
        <v>https://jicheng.tw/tcm/book/%e7%a5%9e%e8%be%b2%e6%9c%ac%e8%8d%89%e7%b6%93%5f%31/index.html</v>
      </c>
    </row>
    <row r="136" spans="1:10">
      <c r="A136" s="10" t="s">
        <v>140</v>
      </c>
      <c r="B136" s="10" t="s">
        <v>141</v>
      </c>
      <c r="C136" s="10"/>
      <c r="D136" t="s">
        <v>1486</v>
      </c>
      <c r="E136" t="s">
        <v>144</v>
      </c>
      <c r="G136" s="14" t="s">
        <v>2381</v>
      </c>
      <c r="J136" t="str">
        <f>HYPERLINK("https://jicheng.tw/tcm/book/%e7%a5%9e%e8%be%b2%e6%9c%ac%e8%8d%89%e7%b6%93%5f%32/index.html")</f>
        <v>https://jicheng.tw/tcm/book/%e7%a5%9e%e8%be%b2%e6%9c%ac%e8%8d%89%e7%b6%93%5f%32/index.html</v>
      </c>
    </row>
    <row r="137" spans="1:10">
      <c r="A137" s="10" t="s">
        <v>140</v>
      </c>
      <c r="B137" s="10" t="s">
        <v>141</v>
      </c>
      <c r="C137" s="10"/>
      <c r="D137" t="s">
        <v>1487</v>
      </c>
      <c r="E137" s="1" t="s">
        <v>145</v>
      </c>
      <c r="F137" t="s">
        <v>2345</v>
      </c>
      <c r="G137" s="14" t="s">
        <v>2523</v>
      </c>
      <c r="H137" s="14" t="s">
        <v>2524</v>
      </c>
      <c r="I137" s="1"/>
      <c r="J137" s="1" t="str">
        <f>HYPERLINK("https://jicheng.tw/tcm/book/%e5%90%b3%e6%99%ae%e6%9c%ac%e8%8d%89/index.html")</f>
        <v>https://jicheng.tw/tcm/book/%e5%90%b3%e6%99%ae%e6%9c%ac%e8%8d%89/index.html</v>
      </c>
    </row>
    <row r="138" spans="1:10">
      <c r="A138" s="10" t="s">
        <v>140</v>
      </c>
      <c r="B138" s="10" t="s">
        <v>141</v>
      </c>
      <c r="C138" s="10"/>
      <c r="D138" t="s">
        <v>1488</v>
      </c>
      <c r="E138" t="s">
        <v>146</v>
      </c>
      <c r="F138" t="s">
        <v>2347</v>
      </c>
      <c r="G138" s="14" t="s">
        <v>2346</v>
      </c>
      <c r="H138" s="14">
        <v>536</v>
      </c>
      <c r="J138" t="str">
        <f>HYPERLINK("https://jicheng.tw/tcm/book/%e6%9c%ac%e8%8d%89%e7%b6%93%e9%9b%86%e8%a8%bb/index.html")</f>
        <v>https://jicheng.tw/tcm/book/%e6%9c%ac%e8%8d%89%e7%b6%93%e9%9b%86%e8%a8%bb/index.html</v>
      </c>
    </row>
    <row r="139" spans="1:10">
      <c r="A139" s="10" t="s">
        <v>140</v>
      </c>
      <c r="B139" s="10" t="s">
        <v>141</v>
      </c>
      <c r="C139" s="10"/>
      <c r="D139" t="s">
        <v>147</v>
      </c>
      <c r="E139" t="s">
        <v>147</v>
      </c>
      <c r="F139" t="s">
        <v>2348</v>
      </c>
      <c r="G139" s="14" t="s">
        <v>2349</v>
      </c>
      <c r="H139" s="14">
        <v>659</v>
      </c>
      <c r="J139" t="str">
        <f>HYPERLINK("https://jicheng.tw/tcm/book/%e6%96%b0%e4%bf%ae%e6%9c%ac%e8%8d%89/index.html")</f>
        <v>https://jicheng.tw/tcm/book/%e6%96%b0%e4%bf%ae%e6%9c%ac%e8%8d%89/index.html</v>
      </c>
    </row>
    <row r="140" spans="1:10">
      <c r="A140" s="10" t="s">
        <v>140</v>
      </c>
      <c r="B140" s="10" t="s">
        <v>141</v>
      </c>
      <c r="C140" s="10"/>
      <c r="D140" t="s">
        <v>1489</v>
      </c>
      <c r="E140" t="s">
        <v>148</v>
      </c>
      <c r="F140" t="s">
        <v>2350</v>
      </c>
      <c r="G140" s="14" t="s">
        <v>2351</v>
      </c>
      <c r="H140" s="14" t="s">
        <v>2525</v>
      </c>
      <c r="J140" t="str">
        <f>HYPERLINK("https://jicheng.tw/tcm/book/%e6%b5%b7%e8%97%a5%e6%9c%ac%e8%8d%89/index.html")</f>
        <v>https://jicheng.tw/tcm/book/%e6%b5%b7%e8%97%a5%e6%9c%ac%e8%8d%89/index.html</v>
      </c>
    </row>
    <row r="141" spans="1:10">
      <c r="A141" s="10" t="s">
        <v>140</v>
      </c>
      <c r="B141" s="10" t="s">
        <v>141</v>
      </c>
      <c r="C141" s="10"/>
      <c r="D141" t="s">
        <v>1490</v>
      </c>
      <c r="E141" t="s">
        <v>149</v>
      </c>
      <c r="F141" t="s">
        <v>2353</v>
      </c>
      <c r="G141" s="14" t="s">
        <v>2352</v>
      </c>
      <c r="H141" s="14">
        <v>1061</v>
      </c>
      <c r="J141" t="str">
        <f>HYPERLINK("https://jicheng.tw/tcm/book/%e6%9c%ac%e8%8d%89%e5%9c%96%e7%b6%93/index.html")</f>
        <v>https://jicheng.tw/tcm/book/%e6%9c%ac%e8%8d%89%e5%9c%96%e7%b6%93/index.html</v>
      </c>
    </row>
    <row r="142" spans="1:10">
      <c r="A142" s="10" t="s">
        <v>140</v>
      </c>
      <c r="B142" s="10" t="s">
        <v>141</v>
      </c>
      <c r="C142" s="10"/>
      <c r="D142" t="s">
        <v>1491</v>
      </c>
      <c r="E142" t="s">
        <v>150</v>
      </c>
      <c r="F142" t="s">
        <v>2467</v>
      </c>
      <c r="G142" s="14" t="s">
        <v>2527</v>
      </c>
      <c r="H142" s="14" t="s">
        <v>2528</v>
      </c>
      <c r="J142" t="str">
        <f>HYPERLINK("https://jicheng.tw/tcm/book/%e5%90%8d%e9%86%ab%e5%88%a5%e9%8c%84/index.html")</f>
        <v>https://jicheng.tw/tcm/book/%e5%90%8d%e9%86%ab%e5%88%a5%e9%8c%84/index.html</v>
      </c>
    </row>
    <row r="143" spans="1:10">
      <c r="A143" s="10" t="s">
        <v>140</v>
      </c>
      <c r="B143" s="10" t="s">
        <v>141</v>
      </c>
      <c r="C143" s="10"/>
      <c r="D143" t="s">
        <v>151</v>
      </c>
      <c r="E143" t="s">
        <v>151</v>
      </c>
      <c r="F143" t="s">
        <v>2413</v>
      </c>
      <c r="G143" s="14" t="s">
        <v>2512</v>
      </c>
      <c r="H143" s="14" t="s">
        <v>2529</v>
      </c>
      <c r="J143" t="str">
        <f>HYPERLINK("https://jicheng.tw/tcm/book/%e9%a3%9f%e7%99%82%e6%9c%ac%e8%8d%89/index.html")</f>
        <v>https://jicheng.tw/tcm/book/%e9%a3%9f%e7%99%82%e6%9c%ac%e8%8d%89/index.html</v>
      </c>
    </row>
    <row r="144" spans="1:10">
      <c r="A144" s="10" t="s">
        <v>140</v>
      </c>
      <c r="B144" s="10" t="s">
        <v>152</v>
      </c>
      <c r="C144" s="10"/>
      <c r="D144" t="s">
        <v>1492</v>
      </c>
      <c r="E144" t="s">
        <v>153</v>
      </c>
      <c r="F144" t="s">
        <v>2412</v>
      </c>
      <c r="G144" s="14" t="s">
        <v>2530</v>
      </c>
      <c r="H144" s="14" t="s">
        <v>2531</v>
      </c>
      <c r="J144" t="str">
        <f>HYPERLINK("https://jicheng.tw/tcm/book/%e8%ad%89%e9%a1%9e%e6%9c%ac%e8%8d%89/index.html")</f>
        <v>https://jicheng.tw/tcm/book/%e8%ad%89%e9%a1%9e%e6%9c%ac%e8%8d%89/index.html</v>
      </c>
    </row>
    <row r="145" spans="1:10">
      <c r="A145" s="10" t="s">
        <v>140</v>
      </c>
      <c r="B145" s="10" t="s">
        <v>152</v>
      </c>
      <c r="C145" s="10"/>
      <c r="D145" t="s">
        <v>154</v>
      </c>
      <c r="E145" t="s">
        <v>154</v>
      </c>
      <c r="F145" t="s">
        <v>2354</v>
      </c>
      <c r="G145" s="14" t="s">
        <v>2530</v>
      </c>
      <c r="H145" s="14">
        <v>1119</v>
      </c>
      <c r="J145" t="str">
        <f>HYPERLINK("https://jicheng.tw/tcm/book/%e6%9c%ac%e8%8d%89%e8%a1%8d%e7%be%a9/index.html")</f>
        <v>https://jicheng.tw/tcm/book/%e6%9c%ac%e8%8d%89%e8%a1%8d%e7%be%a9/index.html</v>
      </c>
    </row>
    <row r="146" spans="1:10">
      <c r="A146" s="10" t="s">
        <v>140</v>
      </c>
      <c r="B146" s="10" t="s">
        <v>152</v>
      </c>
      <c r="C146" s="10"/>
      <c r="D146" t="s">
        <v>155</v>
      </c>
      <c r="E146" t="s">
        <v>155</v>
      </c>
      <c r="F146" t="s">
        <v>2355</v>
      </c>
      <c r="G146" s="14" t="s">
        <v>2356</v>
      </c>
      <c r="H146" s="14">
        <v>1298</v>
      </c>
      <c r="J146" t="str">
        <f>HYPERLINK("https://jicheng.tw/tcm/book/%e6%b9%af%e6%b6%b2%e6%9c%ac%e8%8d%89/index.html")</f>
        <v>https://jicheng.tw/tcm/book/%e6%b9%af%e6%b6%b2%e6%9c%ac%e8%8d%89/index.html</v>
      </c>
    </row>
    <row r="147" spans="1:10">
      <c r="A147" s="10" t="s">
        <v>140</v>
      </c>
      <c r="B147" s="10" t="s">
        <v>152</v>
      </c>
      <c r="C147" s="10"/>
      <c r="D147" t="s">
        <v>1493</v>
      </c>
      <c r="E147" t="s">
        <v>156</v>
      </c>
      <c r="F147" t="s">
        <v>2532</v>
      </c>
      <c r="G147" s="14" t="s">
        <v>2495</v>
      </c>
      <c r="H147" s="14">
        <v>1384</v>
      </c>
      <c r="J147" t="str">
        <f>HYPERLINK("https://jicheng.tw/tcm/book/%e6%9c%ac%e8%8d%89%e7%99%bc%e6%8f%ae/index.html")</f>
        <v>https://jicheng.tw/tcm/book/%e6%9c%ac%e8%8d%89%e7%99%bc%e6%8f%ae/index.html</v>
      </c>
    </row>
    <row r="148" spans="1:10">
      <c r="A148" s="10" t="s">
        <v>140</v>
      </c>
      <c r="B148" s="10" t="s">
        <v>152</v>
      </c>
      <c r="C148" s="10"/>
      <c r="D148" t="s">
        <v>157</v>
      </c>
      <c r="E148" t="s">
        <v>157</v>
      </c>
      <c r="J148" t="str">
        <f>HYPERLINK("https://jicheng.tw/tcm/book/%e6%9c%ac%e8%8d%89%e9%9b%86%e6%96%b9/index.html")</f>
        <v>https://jicheng.tw/tcm/book/%e6%9c%ac%e8%8d%89%e9%9b%86%e6%96%b9/index.html</v>
      </c>
    </row>
    <row r="149" spans="1:10">
      <c r="A149" s="10" t="s">
        <v>140</v>
      </c>
      <c r="B149" s="10" t="s">
        <v>152</v>
      </c>
      <c r="C149" s="10"/>
      <c r="D149" t="s">
        <v>158</v>
      </c>
      <c r="E149" t="s">
        <v>158</v>
      </c>
      <c r="F149" t="s">
        <v>2533</v>
      </c>
      <c r="G149" s="14" t="s">
        <v>2530</v>
      </c>
      <c r="J149" t="str">
        <f>HYPERLINK("https://jicheng.tw/tcm/book/%e7%b4%b9%e8%88%88%e6%9c%ac%e8%8d%89/index.html")</f>
        <v>https://jicheng.tw/tcm/book/%e7%b4%b9%e8%88%88%e6%9c%ac%e8%8d%89/index.html</v>
      </c>
    </row>
    <row r="150" spans="1:10">
      <c r="A150" s="10" t="s">
        <v>140</v>
      </c>
      <c r="B150" s="10" t="s">
        <v>152</v>
      </c>
      <c r="C150" s="10"/>
      <c r="D150" t="s">
        <v>1494</v>
      </c>
      <c r="E150" t="s">
        <v>159</v>
      </c>
      <c r="F150" t="s">
        <v>2534</v>
      </c>
      <c r="G150" s="14" t="s">
        <v>2513</v>
      </c>
      <c r="J150" t="str">
        <f>HYPERLINK("https://jicheng.tw/tcm/book/%e7%8f%8d%e7%8f%a0%e5%9b%8a%e8%97%a5%e6%80%a7%e8%b3%a6/index.html")</f>
        <v>https://jicheng.tw/tcm/book/%e7%8f%8d%e7%8f%a0%e5%9b%8a%e8%97%a5%e6%80%a7%e8%b3%a6/index.html</v>
      </c>
    </row>
    <row r="151" spans="1:10">
      <c r="A151" s="10" t="s">
        <v>140</v>
      </c>
      <c r="B151" s="10" t="s">
        <v>152</v>
      </c>
      <c r="C151" s="10"/>
      <c r="D151" t="s">
        <v>1495</v>
      </c>
      <c r="E151" t="s">
        <v>160</v>
      </c>
      <c r="F151" t="s">
        <v>2535</v>
      </c>
      <c r="G151" s="14" t="s">
        <v>2495</v>
      </c>
      <c r="H151" s="14">
        <v>1250</v>
      </c>
      <c r="J151" t="str">
        <f>HYPERLINK("https://jicheng.tw/tcm/book/%e7%8f%8d%e7%8f%a0%e5%9b%8a%e8%a3%9c%e9%81%ba%e8%97%a5%e6%80%a7%e8%b3%a6/index.html")</f>
        <v>https://jicheng.tw/tcm/book/%e7%8f%8d%e7%8f%a0%e5%9b%8a%e8%a3%9c%e9%81%ba%e8%97%a5%e6%80%a7%e8%b3%a6/index.html</v>
      </c>
    </row>
    <row r="152" spans="1:10">
      <c r="A152" s="10" t="s">
        <v>140</v>
      </c>
      <c r="B152" s="10" t="s">
        <v>152</v>
      </c>
      <c r="C152" s="10"/>
      <c r="D152" t="s">
        <v>1496</v>
      </c>
      <c r="E152" t="s">
        <v>161</v>
      </c>
      <c r="G152" s="14" t="s">
        <v>2356</v>
      </c>
      <c r="H152" s="14" t="s">
        <v>2536</v>
      </c>
      <c r="J152" t="str">
        <f>HYPERLINK("https://jicheng.tw/tcm/book/%e5%a2%9e%e5%bb%a3%e5%92%8c%e5%8a%91%e5%b1%80%e6%96%b9%e8%97%a5%e6%80%a7%e7%b8%bd%e8%ab%96/index.html")</f>
        <v>https://jicheng.tw/tcm/book/%e5%a2%9e%e5%bb%a3%e5%92%8c%e5%8a%91%e5%b1%80%e6%96%b9%e8%97%a5%e6%80%a7%e7%b8%bd%e8%ab%96/index.html</v>
      </c>
    </row>
    <row r="153" spans="1:10">
      <c r="A153" s="10" t="s">
        <v>140</v>
      </c>
      <c r="B153" s="10" t="s">
        <v>152</v>
      </c>
      <c r="C153" s="10"/>
      <c r="D153" t="s">
        <v>162</v>
      </c>
      <c r="E153" t="s">
        <v>162</v>
      </c>
      <c r="F153" t="s">
        <v>2537</v>
      </c>
      <c r="G153" s="14" t="s">
        <v>2530</v>
      </c>
      <c r="J153" t="str">
        <f>HYPERLINK("https://jicheng.tw/tcm/book/%e6%9c%ac%e8%8d%89%e8%a1%8d%e5%8f%a5/index.html")</f>
        <v>https://jicheng.tw/tcm/book/%e6%9c%ac%e8%8d%89%e8%a1%8d%e5%8f%a5/index.html</v>
      </c>
    </row>
    <row r="154" spans="1:10">
      <c r="A154" s="10" t="s">
        <v>140</v>
      </c>
      <c r="B154" s="10" t="s">
        <v>163</v>
      </c>
      <c r="C154" s="10"/>
      <c r="D154" t="s">
        <v>1497</v>
      </c>
      <c r="E154" t="s">
        <v>164</v>
      </c>
      <c r="F154" t="s">
        <v>2538</v>
      </c>
      <c r="G154" s="14" t="s">
        <v>2495</v>
      </c>
      <c r="H154" s="14">
        <v>1625</v>
      </c>
      <c r="J154" t="str">
        <f>HYPERLINK("https://jicheng.tw/tcm/book/%e7%a5%9e%e8%be%b2%e6%9c%ac%e8%8d%89%e7%b6%93%e7%96%8f/index.html")</f>
        <v>https://jicheng.tw/tcm/book/%e7%a5%9e%e8%be%b2%e6%9c%ac%e8%8d%89%e7%b6%93%e7%96%8f/index.html</v>
      </c>
    </row>
    <row r="155" spans="1:10">
      <c r="A155" s="10" t="s">
        <v>140</v>
      </c>
      <c r="B155" s="10" t="s">
        <v>163</v>
      </c>
      <c r="C155" s="10"/>
      <c r="D155" t="s">
        <v>165</v>
      </c>
      <c r="E155" t="s">
        <v>165</v>
      </c>
      <c r="F155" t="s">
        <v>2539</v>
      </c>
      <c r="G155" s="14" t="s">
        <v>2495</v>
      </c>
      <c r="H155" s="14">
        <v>1436</v>
      </c>
      <c r="J155" t="str">
        <f>HYPERLINK("https://jicheng.tw/tcm/book/%e6%bb%87%e5%8d%97%e6%9c%ac%e8%8d%89/index.html")</f>
        <v>https://jicheng.tw/tcm/book/%e6%bb%87%e5%8d%97%e6%9c%ac%e8%8d%89/index.html</v>
      </c>
    </row>
    <row r="156" spans="1:10">
      <c r="A156" s="10" t="s">
        <v>140</v>
      </c>
      <c r="B156" s="10" t="s">
        <v>163</v>
      </c>
      <c r="C156" s="10"/>
      <c r="D156" t="s">
        <v>166</v>
      </c>
      <c r="E156" t="s">
        <v>166</v>
      </c>
      <c r="F156" t="s">
        <v>2411</v>
      </c>
      <c r="G156" s="14" t="s">
        <v>2495</v>
      </c>
      <c r="H156" s="14">
        <v>1505</v>
      </c>
      <c r="J156" t="str">
        <f>HYPERLINK("https://jicheng.tw/tcm/book/%e6%9c%ac%e8%8d%89%e5%93%81%e5%bd%99%e7%b2%be%e8%a6%81/index.html")</f>
        <v>https://jicheng.tw/tcm/book/%e6%9c%ac%e8%8d%89%e5%93%81%e5%bd%99%e7%b2%be%e8%a6%81/index.html</v>
      </c>
    </row>
    <row r="157" spans="1:10">
      <c r="A157" s="10" t="s">
        <v>140</v>
      </c>
      <c r="B157" s="10" t="s">
        <v>163</v>
      </c>
      <c r="C157" s="10"/>
      <c r="D157" t="s">
        <v>1498</v>
      </c>
      <c r="E157" t="s">
        <v>167</v>
      </c>
      <c r="F157" t="s">
        <v>2540</v>
      </c>
      <c r="G157" s="14" t="s">
        <v>2495</v>
      </c>
      <c r="H157" s="14" t="s">
        <v>2541</v>
      </c>
      <c r="J157" t="str">
        <f>HYPERLINK("https://jicheng.tw/tcm/book/%e8%ad%89%e6%b2%bb%e6%9c%ac%e8%8d%89/index.html")</f>
        <v>https://jicheng.tw/tcm/book/%e8%ad%89%e6%b2%bb%e6%9c%ac%e8%8d%89/index.html</v>
      </c>
    </row>
    <row r="158" spans="1:10">
      <c r="A158" s="10" t="s">
        <v>140</v>
      </c>
      <c r="B158" s="10" t="s">
        <v>163</v>
      </c>
      <c r="C158" s="10"/>
      <c r="D158" t="s">
        <v>168</v>
      </c>
      <c r="E158" t="s">
        <v>168</v>
      </c>
      <c r="F158" t="s">
        <v>2366</v>
      </c>
      <c r="G158" s="14" t="s">
        <v>2495</v>
      </c>
      <c r="H158" s="14">
        <v>1555</v>
      </c>
      <c r="J158" t="str">
        <f>HYPERLINK("https://jicheng.tw/tcm/book/%e6%95%91%e8%8d%92%e6%9c%ac%e8%8d%89/index.html")</f>
        <v>https://jicheng.tw/tcm/book/%e6%95%91%e8%8d%92%e6%9c%ac%e8%8d%89/index.html</v>
      </c>
    </row>
    <row r="159" spans="1:10">
      <c r="A159" s="10" t="s">
        <v>140</v>
      </c>
      <c r="B159" s="10" t="s">
        <v>163</v>
      </c>
      <c r="C159" s="10"/>
      <c r="D159" t="s">
        <v>169</v>
      </c>
      <c r="E159" t="s">
        <v>169</v>
      </c>
      <c r="F159" t="s">
        <v>2542</v>
      </c>
      <c r="G159" s="14" t="s">
        <v>2495</v>
      </c>
      <c r="H159" s="14">
        <v>1565</v>
      </c>
      <c r="J159" t="str">
        <f>HYPERLINK("https://jicheng.tw/tcm/book/%e6%9c%ac%e8%8d%89%e8%92%99%e7%ad%8c/index.html")</f>
        <v>https://jicheng.tw/tcm/book/%e6%9c%ac%e8%8d%89%e8%92%99%e7%ad%8c/index.html</v>
      </c>
    </row>
    <row r="160" spans="1:10">
      <c r="A160" s="10" t="s">
        <v>140</v>
      </c>
      <c r="B160" s="10" t="s">
        <v>163</v>
      </c>
      <c r="C160" s="10"/>
      <c r="D160" t="s">
        <v>170</v>
      </c>
      <c r="E160" t="s">
        <v>170</v>
      </c>
      <c r="F160" t="s">
        <v>2357</v>
      </c>
      <c r="G160" s="14" t="s">
        <v>2495</v>
      </c>
      <c r="H160" s="14">
        <v>1578</v>
      </c>
      <c r="J160" t="str">
        <f>HYPERLINK("https://jicheng.tw/tcm/book/%e6%9c%ac%e8%8d%89%e7%b6%b1%e7%9b%ae/index.html")</f>
        <v>https://jicheng.tw/tcm/book/%e6%9c%ac%e8%8d%89%e7%b6%b1%e7%9b%ae/index.html</v>
      </c>
    </row>
    <row r="161" spans="1:10">
      <c r="A161" s="10" t="s">
        <v>140</v>
      </c>
      <c r="B161" s="10" t="s">
        <v>163</v>
      </c>
      <c r="C161" s="10"/>
      <c r="D161" t="s">
        <v>1499</v>
      </c>
      <c r="E161" t="s">
        <v>171</v>
      </c>
      <c r="F161" t="s">
        <v>2358</v>
      </c>
      <c r="G161" s="14" t="s">
        <v>2495</v>
      </c>
      <c r="H161" s="14">
        <v>1647</v>
      </c>
      <c r="J161" t="str">
        <f>HYPERLINK("https://jicheng.tw/tcm/book/%e6%9c%ac%e8%8d%89%e4%b9%98%e9%9b%85%e5%8d%8a%e5%81%88/index.html")</f>
        <v>https://jicheng.tw/tcm/book/%e6%9c%ac%e8%8d%89%e4%b9%98%e9%9b%85%e5%8d%8a%e5%81%88/index.html</v>
      </c>
    </row>
    <row r="162" spans="1:10">
      <c r="A162" s="10" t="s">
        <v>140</v>
      </c>
      <c r="B162" s="10" t="s">
        <v>163</v>
      </c>
      <c r="C162" s="10"/>
      <c r="D162" t="s">
        <v>1500</v>
      </c>
      <c r="E162" t="s">
        <v>172</v>
      </c>
      <c r="F162" t="s">
        <v>2360</v>
      </c>
      <c r="G162" s="14" t="s">
        <v>2359</v>
      </c>
      <c r="H162" s="14">
        <v>1673</v>
      </c>
      <c r="J162" t="str">
        <f>HYPERLINK("https://jicheng.tw/tcm/book/%e6%9c%ac%e8%8d%89%e5%be%b5%e8%a6%81/index.html")</f>
        <v>https://jicheng.tw/tcm/book/%e6%9c%ac%e8%8d%89%e5%be%b5%e8%a6%81/index.html</v>
      </c>
    </row>
    <row r="163" spans="1:10">
      <c r="A163" s="10" t="s">
        <v>140</v>
      </c>
      <c r="B163" s="10" t="s">
        <v>163</v>
      </c>
      <c r="C163" s="10"/>
      <c r="D163" t="s">
        <v>1501</v>
      </c>
      <c r="E163" t="s">
        <v>173</v>
      </c>
      <c r="F163" t="s">
        <v>2543</v>
      </c>
      <c r="G163" s="14" t="s">
        <v>2361</v>
      </c>
      <c r="H163" s="14">
        <v>1694</v>
      </c>
      <c r="J163" t="str">
        <f>HYPERLINK("https://jicheng.tw/tcm/book/%e6%9c%ac%e8%8d%89%e6%98%93%e8%ae%80/index.html")</f>
        <v>https://jicheng.tw/tcm/book/%e6%9c%ac%e8%8d%89%e6%98%93%e8%ae%80/index.html</v>
      </c>
    </row>
    <row r="164" spans="1:10">
      <c r="A164" s="10" t="s">
        <v>140</v>
      </c>
      <c r="B164" s="10" t="s">
        <v>163</v>
      </c>
      <c r="C164" s="10"/>
      <c r="D164" t="s">
        <v>1502</v>
      </c>
      <c r="E164" t="s">
        <v>174</v>
      </c>
      <c r="F164" t="s">
        <v>2544</v>
      </c>
      <c r="G164" s="14" t="s">
        <v>2359</v>
      </c>
      <c r="H164" s="14">
        <v>1622</v>
      </c>
      <c r="I164" s="10"/>
      <c r="J164" t="str">
        <f>HYPERLINK("https://jicheng.tw/tcm/book/%e9%9b%b7%e5%85%ac%e7%82%ae%e8%a3%bd%e8%97%a5%e6%80%a7%e8%a7%a3/index.html")</f>
        <v>https://jicheng.tw/tcm/book/%e9%9b%b7%e5%85%ac%e7%82%ae%e8%a3%bd%e8%97%a5%e6%80%a7%e8%a7%a3/index.html</v>
      </c>
    </row>
    <row r="165" spans="1:10">
      <c r="A165" s="10" t="s">
        <v>140</v>
      </c>
      <c r="B165" s="10" t="s">
        <v>163</v>
      </c>
      <c r="C165" s="10"/>
      <c r="D165" t="s">
        <v>1503</v>
      </c>
      <c r="E165" t="s">
        <v>175</v>
      </c>
      <c r="F165" t="s">
        <v>2545</v>
      </c>
      <c r="G165" s="14" t="s">
        <v>2359</v>
      </c>
      <c r="H165" s="14">
        <v>1598</v>
      </c>
      <c r="J165" t="str">
        <f>HYPERLINK("https://jicheng.tw/tcm/book/%e8%97%a5%e9%91%91/index.html")</f>
        <v>https://jicheng.tw/tcm/book/%e8%97%a5%e9%91%91/index.html</v>
      </c>
    </row>
    <row r="166" spans="1:10">
      <c r="A166" s="10" t="s">
        <v>140</v>
      </c>
      <c r="B166" s="10" t="s">
        <v>163</v>
      </c>
      <c r="C166" s="10"/>
      <c r="D166" t="s">
        <v>176</v>
      </c>
      <c r="E166" t="s">
        <v>176</v>
      </c>
      <c r="F166" t="s">
        <v>2546</v>
      </c>
      <c r="G166" s="14" t="s">
        <v>2359</v>
      </c>
      <c r="H166" s="14">
        <v>1624</v>
      </c>
      <c r="J166" t="str">
        <f>HYPERLINK("https://jicheng.tw/tcm/book/%e6%9c%ac%e8%8d%89%e6%ad%a3/index.html")</f>
        <v>https://jicheng.tw/tcm/book/%e6%9c%ac%e8%8d%89%e6%ad%a3/index.html</v>
      </c>
    </row>
    <row r="167" spans="1:10">
      <c r="A167" s="10" t="s">
        <v>140</v>
      </c>
      <c r="B167" s="10" t="s">
        <v>163</v>
      </c>
      <c r="C167" s="10"/>
      <c r="D167" t="s">
        <v>177</v>
      </c>
      <c r="E167" t="s">
        <v>177</v>
      </c>
      <c r="F167" t="s">
        <v>2547</v>
      </c>
      <c r="G167" s="14" t="s">
        <v>2359</v>
      </c>
      <c r="H167" s="14">
        <v>1637</v>
      </c>
      <c r="J167" t="str">
        <f>HYPERLINK("https://jicheng.tw/tcm/book/%e6%9c%ac%e8%8d%89%e9%80%9a%e7%8e%84/index.html")</f>
        <v>https://jicheng.tw/tcm/book/%e6%9c%ac%e8%8d%89%e9%80%9a%e7%8e%84/index.html</v>
      </c>
    </row>
    <row r="168" spans="1:10">
      <c r="A168" s="10" t="s">
        <v>140</v>
      </c>
      <c r="B168" s="10" t="s">
        <v>163</v>
      </c>
      <c r="C168" s="10"/>
      <c r="D168" t="s">
        <v>178</v>
      </c>
      <c r="E168" t="s">
        <v>178</v>
      </c>
      <c r="F168" t="s">
        <v>2548</v>
      </c>
      <c r="G168" s="14" t="s">
        <v>2359</v>
      </c>
      <c r="H168" s="14">
        <v>1619</v>
      </c>
      <c r="J168" t="str">
        <f>HYPERLINK("https://jicheng.tw/tcm/book/%e6%9c%ac%e8%8d%89%e5%bd%99%e8%a8%80/index.html")</f>
        <v>https://jicheng.tw/tcm/book/%e6%9c%ac%e8%8d%89%e5%bd%99%e8%a8%80/index.html</v>
      </c>
    </row>
    <row r="169" spans="1:10">
      <c r="A169" s="10" t="s">
        <v>140</v>
      </c>
      <c r="B169" s="10" t="s">
        <v>163</v>
      </c>
      <c r="C169" s="10"/>
      <c r="D169" t="s">
        <v>179</v>
      </c>
      <c r="E169" t="s">
        <v>179</v>
      </c>
      <c r="F169" t="s">
        <v>2549</v>
      </c>
      <c r="G169" s="14" t="s">
        <v>2359</v>
      </c>
      <c r="H169" s="14">
        <v>1520</v>
      </c>
      <c r="J169" t="str">
        <f>HYPERLINK("https://jicheng.tw/tcm/book/%e9%a3%9f%e7%89%a9%e6%9c%ac%e8%8d%89/index.html")</f>
        <v>https://jicheng.tw/tcm/book/%e9%a3%9f%e7%89%a9%e6%9c%ac%e8%8d%89/index.html</v>
      </c>
    </row>
    <row r="170" spans="1:10">
      <c r="A170" s="10" t="s">
        <v>140</v>
      </c>
      <c r="B170" s="10" t="s">
        <v>163</v>
      </c>
      <c r="C170" s="10"/>
      <c r="D170" t="s">
        <v>180</v>
      </c>
      <c r="E170" t="s">
        <v>180</v>
      </c>
      <c r="F170" t="s">
        <v>2550</v>
      </c>
      <c r="G170" s="14" t="s">
        <v>2359</v>
      </c>
      <c r="J170" t="str">
        <f>HYPERLINK("https://jicheng.tw/tcm/book/%e6%9c%ac%e8%8d%89%e8%a9%b3%e7%af%80/index.html")</f>
        <v>https://jicheng.tw/tcm/book/%e6%9c%ac%e8%8d%89%e8%a9%b3%e7%af%80/index.html</v>
      </c>
    </row>
    <row r="171" spans="1:10">
      <c r="A171" s="10" t="s">
        <v>140</v>
      </c>
      <c r="B171" s="10" t="s">
        <v>163</v>
      </c>
      <c r="C171" s="10"/>
      <c r="D171" t="s">
        <v>181</v>
      </c>
      <c r="E171" t="s">
        <v>181</v>
      </c>
      <c r="F171" t="s">
        <v>2551</v>
      </c>
      <c r="G171" s="14" t="s">
        <v>2359</v>
      </c>
      <c r="H171" s="14">
        <v>1550</v>
      </c>
      <c r="J171" t="str">
        <f>HYPERLINK("https://jicheng.tw/tcm/book/%e6%9c%ac%e8%8d%89%e7%b4%84%e8%a8%80/index.html")</f>
        <v>https://jicheng.tw/tcm/book/%e6%9c%ac%e8%8d%89%e7%b4%84%e8%a8%80/index.html</v>
      </c>
    </row>
    <row r="172" spans="1:10">
      <c r="A172" s="10" t="s">
        <v>140</v>
      </c>
      <c r="B172" s="10" t="s">
        <v>182</v>
      </c>
      <c r="C172" s="10"/>
      <c r="D172" t="s">
        <v>1504</v>
      </c>
      <c r="E172" t="s">
        <v>183</v>
      </c>
      <c r="F172" t="s">
        <v>2552</v>
      </c>
      <c r="G172" s="14" t="s">
        <v>2361</v>
      </c>
      <c r="H172" s="14">
        <v>1691</v>
      </c>
      <c r="J172" t="str">
        <f>HYPERLINK("https://jicheng.tw/tcm/book/%e9%a3%9f%e7%89%a9%e6%9c%ac%e8%8d%89%e6%9c%83%e7%ba%82/index.html")</f>
        <v>https://jicheng.tw/tcm/book/%e9%a3%9f%e7%89%a9%e6%9c%ac%e8%8d%89%e6%9c%83%e7%ba%82/index.html</v>
      </c>
    </row>
    <row r="173" spans="1:10">
      <c r="A173" s="10" t="s">
        <v>140</v>
      </c>
      <c r="B173" s="10" t="s">
        <v>182</v>
      </c>
      <c r="C173" s="10"/>
      <c r="D173" t="s">
        <v>184</v>
      </c>
      <c r="E173" t="s">
        <v>184</v>
      </c>
      <c r="F173" t="s">
        <v>2553</v>
      </c>
      <c r="G173" s="14" t="s">
        <v>2361</v>
      </c>
      <c r="H173" s="14">
        <v>1694</v>
      </c>
      <c r="J173" t="str">
        <f>HYPERLINK("https://jicheng.tw/tcm/book/%e6%9c%ac%e8%8d%89%e5%82%99%e8%a6%81/index.html")</f>
        <v>https://jicheng.tw/tcm/book/%e6%9c%ac%e8%8d%89%e5%82%99%e8%a6%81/index.html</v>
      </c>
    </row>
    <row r="174" spans="1:10">
      <c r="A174" s="10" t="s">
        <v>140</v>
      </c>
      <c r="B174" s="10" t="s">
        <v>182</v>
      </c>
      <c r="C174" s="10"/>
      <c r="D174" t="s">
        <v>1505</v>
      </c>
      <c r="E174" t="s">
        <v>185</v>
      </c>
      <c r="F174" t="s">
        <v>2553</v>
      </c>
      <c r="G174" s="14" t="s">
        <v>2361</v>
      </c>
      <c r="H174" s="14">
        <v>1694</v>
      </c>
      <c r="J174" t="str">
        <f>HYPERLINK("https://jicheng.tw/tcm/book/%e6%9c%ac%e8%8d%89%e5%82%99%e8%a6%81%5f%e6%a2%9d%e5%88%97%e7%89%88/index.html")</f>
        <v>https://jicheng.tw/tcm/book/%e6%9c%ac%e8%8d%89%e5%82%99%e8%a6%81%5f%e6%a2%9d%e5%88%97%e7%89%88/index.html</v>
      </c>
    </row>
    <row r="175" spans="1:10">
      <c r="A175" s="10" t="s">
        <v>140</v>
      </c>
      <c r="B175" s="10" t="s">
        <v>182</v>
      </c>
      <c r="C175" s="10"/>
      <c r="D175" t="s">
        <v>1506</v>
      </c>
      <c r="E175" t="s">
        <v>186</v>
      </c>
      <c r="F175" t="s">
        <v>2553</v>
      </c>
      <c r="G175" s="14" t="s">
        <v>2361</v>
      </c>
      <c r="H175" s="14">
        <v>1694</v>
      </c>
      <c r="J175" t="str">
        <f>HYPERLINK("https://jicheng.tw/tcm/book/%e5%a2%9e%e8%a8%82%e5%9c%96%e8%a8%bb%e6%9c%ac%e8%8d%89%e5%82%99%e8%a6%81/index.html")</f>
        <v>https://jicheng.tw/tcm/book/%e5%a2%9e%e8%a8%82%e5%9c%96%e8%a8%bb%e6%9c%ac%e8%8d%89%e5%82%99%e8%a6%81/index.html</v>
      </c>
    </row>
    <row r="176" spans="1:10">
      <c r="A176" s="10" t="s">
        <v>140</v>
      </c>
      <c r="B176" s="10" t="s">
        <v>182</v>
      </c>
      <c r="C176" s="10"/>
      <c r="D176" t="s">
        <v>1507</v>
      </c>
      <c r="E176" t="s">
        <v>187</v>
      </c>
      <c r="F176" t="s">
        <v>2554</v>
      </c>
      <c r="G176" s="14" t="s">
        <v>2361</v>
      </c>
      <c r="H176" s="14">
        <v>1773</v>
      </c>
      <c r="J176" t="str">
        <f>HYPERLINK("https://jicheng.tw/tcm/book/%e8%a6%81%e8%97%a5%e5%88%86%e5%8a%91/index.html")</f>
        <v>https://jicheng.tw/tcm/book/%e8%a6%81%e8%97%a5%e5%88%86%e5%8a%91/index.html</v>
      </c>
    </row>
    <row r="177" spans="1:10">
      <c r="A177" s="10" t="s">
        <v>140</v>
      </c>
      <c r="B177" s="10" t="s">
        <v>182</v>
      </c>
      <c r="C177" s="10"/>
      <c r="D177" t="s">
        <v>188</v>
      </c>
      <c r="E177" t="s">
        <v>188</v>
      </c>
      <c r="F177" t="s">
        <v>2555</v>
      </c>
      <c r="G177" s="14" t="s">
        <v>2361</v>
      </c>
      <c r="H177" s="14">
        <v>1689</v>
      </c>
      <c r="J177" t="str">
        <f>HYPERLINK("https://jicheng.tw/tcm/book/%e6%9c%ac%e8%8d%89%e6%96%b0%e7%b7%a8/index.html")</f>
        <v>https://jicheng.tw/tcm/book/%e6%9c%ac%e8%8d%89%e6%96%b0%e7%b7%a8/index.html</v>
      </c>
    </row>
    <row r="178" spans="1:10">
      <c r="A178" s="10" t="s">
        <v>140</v>
      </c>
      <c r="B178" s="10" t="s">
        <v>182</v>
      </c>
      <c r="C178" s="10"/>
      <c r="D178" t="s">
        <v>1508</v>
      </c>
      <c r="E178" t="s">
        <v>189</v>
      </c>
      <c r="F178" t="s">
        <v>2406</v>
      </c>
      <c r="G178" s="14" t="s">
        <v>2361</v>
      </c>
      <c r="H178" s="14">
        <v>1695</v>
      </c>
      <c r="J178" t="str">
        <f>HYPERLINK("https://jicheng.tw/tcm/book/%e6%9c%ac%e7%b6%93%e9%80%a2%e5%8e%9f/index.html")</f>
        <v>https://jicheng.tw/tcm/book/%e6%9c%ac%e7%b6%93%e9%80%a2%e5%8e%9f/index.html</v>
      </c>
    </row>
    <row r="179" spans="1:10">
      <c r="A179" s="10" t="s">
        <v>140</v>
      </c>
      <c r="B179" s="10" t="s">
        <v>182</v>
      </c>
      <c r="C179" s="10"/>
      <c r="D179" t="s">
        <v>1509</v>
      </c>
      <c r="E179" t="s">
        <v>190</v>
      </c>
      <c r="F179" t="s">
        <v>2406</v>
      </c>
      <c r="G179" s="14" t="s">
        <v>2361</v>
      </c>
      <c r="H179" s="14">
        <v>1695</v>
      </c>
      <c r="J179" t="str">
        <f>HYPERLINK("https://jicheng.tw/tcm/book/%e6%9c%ac%e7%b6%93%e9%80%a2%e5%8e%9f%5f%31/index.html")</f>
        <v>https://jicheng.tw/tcm/book/%e6%9c%ac%e7%b6%93%e9%80%a2%e5%8e%9f%5f%31/index.html</v>
      </c>
    </row>
    <row r="180" spans="1:10">
      <c r="A180" s="10" t="s">
        <v>140</v>
      </c>
      <c r="B180" s="10" t="s">
        <v>182</v>
      </c>
      <c r="C180" s="10"/>
      <c r="D180" t="s">
        <v>1510</v>
      </c>
      <c r="E180" t="s">
        <v>191</v>
      </c>
      <c r="F180" t="s">
        <v>2556</v>
      </c>
      <c r="G180" s="14" t="s">
        <v>2361</v>
      </c>
      <c r="H180" s="14">
        <v>1724</v>
      </c>
      <c r="J180" t="str">
        <f>HYPERLINK("https://jicheng.tw/tcm/book/%e6%9c%ac%e8%8d%89%e7%b6%93%e8%a7%a3/index.html")</f>
        <v>https://jicheng.tw/tcm/book/%e6%9c%ac%e8%8d%89%e7%b6%93%e8%a7%a3/index.html</v>
      </c>
    </row>
    <row r="181" spans="1:10">
      <c r="A181" s="10" t="s">
        <v>140</v>
      </c>
      <c r="B181" s="10" t="s">
        <v>182</v>
      </c>
      <c r="C181" s="10"/>
      <c r="D181" t="s">
        <v>1511</v>
      </c>
      <c r="E181" t="s">
        <v>192</v>
      </c>
      <c r="F181" s="1" t="s">
        <v>2557</v>
      </c>
      <c r="G181" s="14" t="s">
        <v>2361</v>
      </c>
      <c r="H181" s="14">
        <v>1757</v>
      </c>
      <c r="J181" t="str">
        <f>HYPERLINK("https://jicheng.tw/tcm/book/%e6%9c%ac%e8%8d%89%e5%be%9e%e6%96%b0/index.html")</f>
        <v>https://jicheng.tw/tcm/book/%e6%9c%ac%e8%8d%89%e5%be%9e%e6%96%b0/index.html</v>
      </c>
    </row>
    <row r="182" spans="1:10">
      <c r="A182" s="10" t="s">
        <v>140</v>
      </c>
      <c r="B182" s="10" t="s">
        <v>182</v>
      </c>
      <c r="C182" s="10"/>
      <c r="D182" t="s">
        <v>1512</v>
      </c>
      <c r="E182" t="s">
        <v>193</v>
      </c>
      <c r="F182" t="s">
        <v>2408</v>
      </c>
      <c r="G182" s="14" t="s">
        <v>2361</v>
      </c>
      <c r="H182" s="14">
        <v>1803</v>
      </c>
      <c r="J182" t="str">
        <f>HYPERLINK("https://jicheng.tw/tcm/book/%e7%a5%9e%e8%be%b2%e6%9c%ac%e8%8d%89%e7%b6%93%e8%ae%80/index.html")</f>
        <v>https://jicheng.tw/tcm/book/%e7%a5%9e%e8%be%b2%e6%9c%ac%e8%8d%89%e7%b6%93%e8%ae%80/index.html</v>
      </c>
    </row>
    <row r="183" spans="1:10">
      <c r="A183" s="10" t="s">
        <v>140</v>
      </c>
      <c r="B183" s="10" t="s">
        <v>182</v>
      </c>
      <c r="C183" s="10"/>
      <c r="D183" t="s">
        <v>1513</v>
      </c>
      <c r="E183" t="s">
        <v>194</v>
      </c>
      <c r="J183" t="str">
        <f>HYPERLINK("https://jicheng.tw/tcm/book/%e7%a5%9e%e8%be%b2%e6%9c%ac%e8%8d%89%e7%b6%93%e8%ae%80%5f%e6%a2%9d%e5%88%97%e7%89%88/index.html")</f>
        <v>https://jicheng.tw/tcm/book/%e7%a5%9e%e8%be%b2%e6%9c%ac%e8%8d%89%e7%b6%93%e8%ae%80%5f%e6%a2%9d%e5%88%97%e7%89%88/index.html</v>
      </c>
    </row>
    <row r="184" spans="1:10">
      <c r="A184" s="10" t="s">
        <v>140</v>
      </c>
      <c r="B184" s="10" t="s">
        <v>182</v>
      </c>
      <c r="C184" s="10"/>
      <c r="D184" t="s">
        <v>1514</v>
      </c>
      <c r="E184" t="s">
        <v>195</v>
      </c>
      <c r="F184" t="s">
        <v>2375</v>
      </c>
      <c r="G184" s="14" t="s">
        <v>2361</v>
      </c>
      <c r="H184" s="14">
        <v>1736</v>
      </c>
      <c r="J184" s="4" t="str">
        <f>HYPERLINK("https://jicheng.tw/tcm/book/%e7%a5%9e%e8%be%b2%e6%9c%ac%e8%8d%89%e7%b6%93%e7%99%be%e7%a8%ae%e9%8c%84/index.html")</f>
        <v>https://jicheng.tw/tcm/book/%e7%a5%9e%e8%be%b2%e6%9c%ac%e8%8d%89%e7%b6%93%e7%99%be%e7%a8%ae%e9%8c%84/index.html</v>
      </c>
    </row>
    <row r="185" spans="1:10">
      <c r="A185" s="10" t="s">
        <v>140</v>
      </c>
      <c r="B185" s="10" t="s">
        <v>182</v>
      </c>
      <c r="C185" s="10"/>
      <c r="D185" t="s">
        <v>196</v>
      </c>
      <c r="E185" t="s">
        <v>196</v>
      </c>
      <c r="F185" t="s">
        <v>2468</v>
      </c>
      <c r="G185" s="14" t="s">
        <v>2361</v>
      </c>
      <c r="H185" s="14">
        <v>1765</v>
      </c>
      <c r="J185" t="str">
        <f>HYPERLINK("https://jicheng.tw/tcm/book/%e6%9c%ac%e8%8d%89%e7%b6%b1%e7%9b%ae%e6%8b%be%e9%81%ba/index.html")</f>
        <v>https://jicheng.tw/tcm/book/%e6%9c%ac%e8%8d%89%e7%b6%b1%e7%9b%ae%e6%8b%be%e9%81%ba/index.html</v>
      </c>
    </row>
    <row r="186" spans="1:10">
      <c r="A186" s="10" t="s">
        <v>140</v>
      </c>
      <c r="B186" s="10" t="s">
        <v>182</v>
      </c>
      <c r="C186" s="10"/>
      <c r="D186" t="s">
        <v>197</v>
      </c>
      <c r="E186" t="s">
        <v>197</v>
      </c>
      <c r="F186" t="s">
        <v>2558</v>
      </c>
      <c r="G186" s="14" t="s">
        <v>2361</v>
      </c>
      <c r="H186" s="14">
        <v>1674</v>
      </c>
      <c r="J186" t="str">
        <f>HYPERLINK("https://jicheng.tw/tcm/book/%e6%9c%ac%e8%8d%89%e5%b4%87%e5%8e%9f/index.html")</f>
        <v>https://jicheng.tw/tcm/book/%e6%9c%ac%e8%8d%89%e5%b4%87%e5%8e%9f/index.html</v>
      </c>
    </row>
    <row r="187" spans="1:10">
      <c r="A187" s="10" t="s">
        <v>140</v>
      </c>
      <c r="B187" s="10" t="s">
        <v>182</v>
      </c>
      <c r="C187" s="10"/>
      <c r="D187" t="s">
        <v>198</v>
      </c>
      <c r="E187" t="s">
        <v>198</v>
      </c>
      <c r="F187" t="s">
        <v>2427</v>
      </c>
      <c r="G187" s="14" t="s">
        <v>2361</v>
      </c>
      <c r="H187" s="14">
        <v>1769</v>
      </c>
      <c r="J187" t="str">
        <f>HYPERLINK("https://jicheng.tw/tcm/book/%e6%9c%ac%e8%8d%89%e6%b1%82%e7%9c%9f/index.html")</f>
        <v>https://jicheng.tw/tcm/book/%e6%9c%ac%e8%8d%89%e6%b1%82%e7%9c%9f/index.html</v>
      </c>
    </row>
    <row r="188" spans="1:10">
      <c r="A188" s="10" t="s">
        <v>140</v>
      </c>
      <c r="B188" s="10" t="s">
        <v>182</v>
      </c>
      <c r="C188" s="10"/>
      <c r="D188" t="s">
        <v>199</v>
      </c>
      <c r="E188" t="s">
        <v>199</v>
      </c>
      <c r="F188" t="s">
        <v>2427</v>
      </c>
      <c r="G188" s="14" t="s">
        <v>2361</v>
      </c>
      <c r="H188" s="14">
        <v>1769</v>
      </c>
      <c r="J188" t="str">
        <f>HYPERLINK("https://jicheng.tw/tcm/book/%e6%9c%ac%e8%8d%89%e6%b1%82%e7%9c%9f%5f%31/index.html")</f>
        <v>https://jicheng.tw/tcm/book/%e6%9c%ac%e8%8d%89%e6%b1%82%e7%9c%9f%5f%31/index.html</v>
      </c>
    </row>
    <row r="189" spans="1:10">
      <c r="A189" s="10" t="s">
        <v>140</v>
      </c>
      <c r="B189" s="10" t="s">
        <v>182</v>
      </c>
      <c r="C189" s="10"/>
      <c r="D189" t="s">
        <v>1515</v>
      </c>
      <c r="E189" t="s">
        <v>200</v>
      </c>
      <c r="F189" t="s">
        <v>2559</v>
      </c>
      <c r="G189" s="14" t="s">
        <v>2361</v>
      </c>
      <c r="H189" s="14">
        <v>1833</v>
      </c>
      <c r="J189" t="str">
        <f>HYPERLINK("https://jicheng.tw/tcm/book/%e6%9c%ac%e8%8d%89%e8%bf%b0%e9%89%a4%e5%85%83/index.html")</f>
        <v>https://jicheng.tw/tcm/book/%e6%9c%ac%e8%8d%89%e8%bf%b0%e9%89%a4%e5%85%83/index.html</v>
      </c>
    </row>
    <row r="190" spans="1:10">
      <c r="A190" s="10" t="s">
        <v>140</v>
      </c>
      <c r="B190" s="10" t="s">
        <v>182</v>
      </c>
      <c r="C190" s="10"/>
      <c r="D190" t="s">
        <v>1516</v>
      </c>
      <c r="E190" t="s">
        <v>201</v>
      </c>
      <c r="F190" t="s">
        <v>2560</v>
      </c>
      <c r="G190" s="14" t="s">
        <v>2361</v>
      </c>
      <c r="H190" s="14">
        <v>1904</v>
      </c>
      <c r="J190" s="4" t="str">
        <f>HYPERLINK("https://jicheng.tw/tcm/book/%e6%9c%ac%e8%8d%89%e6%80%9d%e8%be%a8%e9%8c%84/index.html")</f>
        <v>https://jicheng.tw/tcm/book/%e6%9c%ac%e8%8d%89%e6%80%9d%e8%be%a8%e9%8c%84/index.html</v>
      </c>
    </row>
    <row r="191" spans="1:10">
      <c r="A191" s="10" t="s">
        <v>140</v>
      </c>
      <c r="B191" s="10" t="s">
        <v>182</v>
      </c>
      <c r="C191" s="10"/>
      <c r="D191" t="s">
        <v>1517</v>
      </c>
      <c r="E191" t="s">
        <v>202</v>
      </c>
      <c r="F191" t="s">
        <v>2357</v>
      </c>
      <c r="G191" s="14" t="s">
        <v>2359</v>
      </c>
      <c r="H191" s="14">
        <v>1578</v>
      </c>
      <c r="J191" t="str">
        <f>HYPERLINK("https://jicheng.tw/tcm/book/%e6%9c%ac%e8%8d%89%e7%b6%b1%e7%9b%ae%e5%88%a5%e5%90%8d%e9%8c%84/index.html")</f>
        <v>https://jicheng.tw/tcm/book/%e6%9c%ac%e8%8d%89%e7%b6%b1%e7%9b%ae%e5%88%a5%e5%90%8d%e9%8c%84/index.html</v>
      </c>
    </row>
    <row r="192" spans="1:10">
      <c r="A192" s="10" t="s">
        <v>140</v>
      </c>
      <c r="B192" s="10" t="s">
        <v>182</v>
      </c>
      <c r="C192" s="10"/>
      <c r="D192" t="s">
        <v>203</v>
      </c>
      <c r="E192" t="s">
        <v>203</v>
      </c>
      <c r="F192" t="s">
        <v>2561</v>
      </c>
      <c r="G192" s="14" t="s">
        <v>2361</v>
      </c>
      <c r="H192" s="14">
        <v>1901</v>
      </c>
      <c r="J192" t="str">
        <f>HYPERLINK("https://jicheng.tw/tcm/book/%e6%9c%ac%e8%8d%89%e6%92%ae%e8%a6%81/index.html")</f>
        <v>https://jicheng.tw/tcm/book/%e6%9c%ac%e8%8d%89%e6%92%ae%e8%a6%81/index.html</v>
      </c>
    </row>
    <row r="193" spans="1:10">
      <c r="A193" s="10" t="s">
        <v>140</v>
      </c>
      <c r="B193" s="10" t="s">
        <v>182</v>
      </c>
      <c r="C193" s="10"/>
      <c r="D193" t="s">
        <v>204</v>
      </c>
      <c r="E193" t="s">
        <v>204</v>
      </c>
      <c r="F193" t="s">
        <v>2562</v>
      </c>
      <c r="G193" s="14" t="s">
        <v>2361</v>
      </c>
      <c r="H193" s="14">
        <v>1893</v>
      </c>
      <c r="J193" t="str">
        <f>HYPERLINK("https://jicheng.tw/tcm/book/%e6%9c%ac%e8%8d%89%e5%95%8f%e7%ad%94/index.html")</f>
        <v>https://jicheng.tw/tcm/book/%e6%9c%ac%e8%8d%89%e5%95%8f%e7%ad%94/index.html</v>
      </c>
    </row>
    <row r="194" spans="1:10">
      <c r="A194" s="10" t="s">
        <v>140</v>
      </c>
      <c r="B194" s="10" t="s">
        <v>182</v>
      </c>
      <c r="C194" s="10"/>
      <c r="D194" t="s">
        <v>1518</v>
      </c>
      <c r="E194" t="s">
        <v>205</v>
      </c>
      <c r="F194" t="s">
        <v>2563</v>
      </c>
      <c r="G194" s="14" t="s">
        <v>2361</v>
      </c>
      <c r="H194" s="14">
        <v>1679</v>
      </c>
      <c r="J194" t="str">
        <f>HYPERLINK("https://jicheng.tw/tcm/book/%e6%9c%ac%e8%8d%89%e6%93%87%e8%a6%81%e7%b6%b1%e7%9b%ae/index.html")</f>
        <v>https://jicheng.tw/tcm/book/%e6%9c%ac%e8%8d%89%e6%93%87%e8%a6%81%e7%b6%b1%e7%9b%ae/index.html</v>
      </c>
    </row>
    <row r="195" spans="1:10">
      <c r="A195" s="10" t="s">
        <v>140</v>
      </c>
      <c r="B195" s="10" t="s">
        <v>182</v>
      </c>
      <c r="C195" s="10"/>
      <c r="D195" t="s">
        <v>206</v>
      </c>
      <c r="E195" t="s">
        <v>206</v>
      </c>
      <c r="F195" t="s">
        <v>2564</v>
      </c>
      <c r="G195" s="14" t="s">
        <v>2361</v>
      </c>
      <c r="H195" s="14">
        <v>1761</v>
      </c>
      <c r="J195" t="str">
        <f>HYPERLINK("https://jicheng.tw/tcm/book/%e5%be%97%e9%85%8d%e6%9c%ac%e8%8d%89/index.html")</f>
        <v>https://jicheng.tw/tcm/book/%e5%be%97%e9%85%8d%e6%9c%ac%e8%8d%89/index.html</v>
      </c>
    </row>
    <row r="196" spans="1:10">
      <c r="A196" s="10" t="s">
        <v>140</v>
      </c>
      <c r="B196" s="10" t="s">
        <v>182</v>
      </c>
      <c r="C196" s="10"/>
      <c r="D196" t="s">
        <v>207</v>
      </c>
      <c r="E196" t="s">
        <v>207</v>
      </c>
      <c r="F196" t="s">
        <v>2565</v>
      </c>
      <c r="G196" s="14" t="s">
        <v>2361</v>
      </c>
      <c r="H196" s="14">
        <v>1862</v>
      </c>
      <c r="J196" t="str">
        <f>HYPERLINK("https://jicheng.tw/tcm/book/%e6%9c%ac%e8%8d%89%e5%ae%b3%e5%88%a9/index.html")</f>
        <v>https://jicheng.tw/tcm/book/%e6%9c%ac%e8%8d%89%e5%ae%b3%e5%88%a9/index.html</v>
      </c>
    </row>
    <row r="197" spans="1:10">
      <c r="A197" s="10" t="s">
        <v>140</v>
      </c>
      <c r="B197" s="10" t="s">
        <v>182</v>
      </c>
      <c r="C197" s="10"/>
      <c r="D197" t="s">
        <v>1519</v>
      </c>
      <c r="E197" t="s">
        <v>208</v>
      </c>
      <c r="F197" t="s">
        <v>2566</v>
      </c>
      <c r="G197" s="14" t="s">
        <v>2361</v>
      </c>
      <c r="H197" s="14">
        <v>1840</v>
      </c>
      <c r="J197" t="str">
        <f>HYPERLINK("https://jicheng.tw/tcm/book/%e6%9c%ac%e8%8d%89%e5%88%86%e7%b6%93/index.html")</f>
        <v>https://jicheng.tw/tcm/book/%e6%9c%ac%e8%8d%89%e5%88%86%e7%b6%93/index.html</v>
      </c>
    </row>
    <row r="198" spans="1:10">
      <c r="A198" s="10" t="s">
        <v>140</v>
      </c>
      <c r="B198" s="10" t="s">
        <v>182</v>
      </c>
      <c r="C198" s="10"/>
      <c r="D198" t="s">
        <v>1520</v>
      </c>
      <c r="E198" t="s">
        <v>209</v>
      </c>
      <c r="F198" t="s">
        <v>2567</v>
      </c>
      <c r="G198" s="14" t="s">
        <v>2361</v>
      </c>
      <c r="H198" s="14">
        <v>1764</v>
      </c>
      <c r="J198" t="str">
        <f>HYPERLINK("https://jicheng.tw/tcm/book/%e8%97%a5%e6%80%a7%e5%88%87%e7%94%a8/index.html")</f>
        <v>https://jicheng.tw/tcm/book/%e8%97%a5%e6%80%a7%e5%88%87%e7%94%a8/index.html</v>
      </c>
    </row>
    <row r="199" spans="1:10">
      <c r="A199" s="10" t="s">
        <v>140</v>
      </c>
      <c r="B199" s="10" t="s">
        <v>182</v>
      </c>
      <c r="C199" s="10"/>
      <c r="D199" t="s">
        <v>1521</v>
      </c>
      <c r="E199" t="s">
        <v>210</v>
      </c>
      <c r="F199" t="s">
        <v>2428</v>
      </c>
      <c r="G199" s="14" t="s">
        <v>2361</v>
      </c>
      <c r="J199" t="str">
        <f>HYPERLINK("https://jicheng.tw/tcm/book/%e8%97%a5%e8%ab%96/index.html")</f>
        <v>https://jicheng.tw/tcm/book/%e8%97%a5%e8%ab%96/index.html</v>
      </c>
    </row>
    <row r="200" spans="1:10">
      <c r="A200" s="10" t="s">
        <v>140</v>
      </c>
      <c r="B200" s="10" t="s">
        <v>182</v>
      </c>
      <c r="C200" s="10"/>
      <c r="D200" t="s">
        <v>211</v>
      </c>
      <c r="E200" t="s">
        <v>211</v>
      </c>
      <c r="F200" t="s">
        <v>2429</v>
      </c>
      <c r="G200" s="14" t="s">
        <v>2568</v>
      </c>
      <c r="H200" s="14">
        <v>1920</v>
      </c>
      <c r="J200" t="str">
        <f>HYPERLINK("https://jicheng.tw/tcm/book/%e6%9c%ac%e8%8d%89%e6%ad%a3%e7%be%a9/index.html")</f>
        <v>https://jicheng.tw/tcm/book/%e6%9c%ac%e8%8d%89%e6%ad%a3%e7%be%a9/index.html</v>
      </c>
    </row>
    <row r="201" spans="1:10">
      <c r="A201" s="10" t="s">
        <v>140</v>
      </c>
      <c r="B201" s="10" t="s">
        <v>182</v>
      </c>
      <c r="C201" s="10"/>
      <c r="D201" t="s">
        <v>1522</v>
      </c>
      <c r="E201" t="s">
        <v>212</v>
      </c>
      <c r="F201" t="s">
        <v>2569</v>
      </c>
      <c r="G201" s="14" t="s">
        <v>2361</v>
      </c>
      <c r="H201" s="14">
        <v>1753</v>
      </c>
      <c r="J201" t="str">
        <f>HYPERLINK("https://jicheng.tw/tcm/book/%e9%95%b7%e6%b2%99%e8%97%a5%e8%a7%a3/index.html")</f>
        <v>https://jicheng.tw/tcm/book/%e9%95%b7%e6%b2%99%e8%97%a5%e8%a7%a3/index.html</v>
      </c>
    </row>
    <row r="202" spans="1:10">
      <c r="A202" s="10" t="s">
        <v>140</v>
      </c>
      <c r="B202" s="10" t="s">
        <v>182</v>
      </c>
      <c r="C202" s="10"/>
      <c r="D202" t="s">
        <v>1523</v>
      </c>
      <c r="E202" t="s">
        <v>213</v>
      </c>
      <c r="F202" t="s">
        <v>2569</v>
      </c>
      <c r="G202" s="14" t="s">
        <v>2361</v>
      </c>
      <c r="H202" s="14">
        <v>1754</v>
      </c>
      <c r="J202" t="str">
        <f>HYPERLINK("https://jicheng.tw/tcm/book/%e7%8e%89%e6%a5%b8%e8%97%a5%e8%a7%a3/index.html")</f>
        <v>https://jicheng.tw/tcm/book/%e7%8e%89%e6%a5%b8%e8%97%a5%e8%a7%a3/index.html</v>
      </c>
    </row>
    <row r="203" spans="1:10">
      <c r="A203" s="10" t="s">
        <v>140</v>
      </c>
      <c r="B203" s="10" t="s">
        <v>182</v>
      </c>
      <c r="C203" s="10"/>
      <c r="D203" t="s">
        <v>1524</v>
      </c>
      <c r="E203" t="s">
        <v>214</v>
      </c>
      <c r="F203" t="s">
        <v>2362</v>
      </c>
      <c r="G203" s="14" t="s">
        <v>2361</v>
      </c>
      <c r="H203" s="14">
        <v>1832</v>
      </c>
      <c r="J203" s="4" t="str">
        <f>HYPERLINK("https://jicheng.tw/tcm/book/%E6%9C%AC%E7%B6%93%E7%96%8F%E8%AD%89/index.html")</f>
        <v>https://jicheng.tw/tcm/book/%E6%9C%AC%E7%B6%93%E7%96%8F%E8%AD%89/index.html</v>
      </c>
    </row>
    <row r="204" spans="1:10">
      <c r="A204" s="10" t="s">
        <v>140</v>
      </c>
      <c r="B204" s="10" t="s">
        <v>182</v>
      </c>
      <c r="C204" s="10"/>
      <c r="D204" t="s">
        <v>215</v>
      </c>
      <c r="E204" t="s">
        <v>215</v>
      </c>
      <c r="F204" t="s">
        <v>2410</v>
      </c>
      <c r="G204" s="14" t="s">
        <v>2361</v>
      </c>
      <c r="H204" s="14">
        <v>1883</v>
      </c>
      <c r="J204" t="str">
        <f>HYPERLINK("https://jicheng.tw/tcm/book/%e9%a3%9f%e9%91%91%e6%9c%ac%e8%8d%89/index.html")</f>
        <v>https://jicheng.tw/tcm/book/%e9%a3%9f%e9%91%91%e6%9c%ac%e8%8d%89/index.html</v>
      </c>
    </row>
    <row r="205" spans="1:10">
      <c r="A205" s="10" t="s">
        <v>140</v>
      </c>
      <c r="B205" s="10" t="s">
        <v>182</v>
      </c>
      <c r="C205" s="10"/>
      <c r="D205" t="s">
        <v>1525</v>
      </c>
      <c r="E205" t="s">
        <v>216</v>
      </c>
      <c r="F205" t="s">
        <v>2695</v>
      </c>
      <c r="G205" s="14" t="s">
        <v>2361</v>
      </c>
      <c r="H205" s="14">
        <v>1887</v>
      </c>
      <c r="J205" t="str">
        <f>HYPERLINK("https://jicheng.tw/tcm/book/%e6%9c%ac%e8%8d%89%e4%be%bf%e8%ae%80/index.html")</f>
        <v>https://jicheng.tw/tcm/book/%e6%9c%ac%e8%8d%89%e4%be%bf%e8%ae%80/index.html</v>
      </c>
    </row>
    <row r="206" spans="1:10">
      <c r="A206" s="10" t="s">
        <v>140</v>
      </c>
      <c r="B206" s="10" t="s">
        <v>182</v>
      </c>
      <c r="C206" s="10"/>
      <c r="D206" t="s">
        <v>1526</v>
      </c>
      <c r="E206" t="s">
        <v>217</v>
      </c>
      <c r="F206" t="s">
        <v>2570</v>
      </c>
      <c r="G206" s="14" t="s">
        <v>2361</v>
      </c>
      <c r="H206" s="14">
        <v>1850</v>
      </c>
      <c r="J206" t="str">
        <f>HYPERLINK("https://jicheng.tw/tcm/book/%e7%a5%9e%e8%be%b2%e6%9c%ac%e8%8d%89%e7%b6%93%e8%b4%8a/index.html")</f>
        <v>https://jicheng.tw/tcm/book/%e7%a5%9e%e8%be%b2%e6%9c%ac%e8%8d%89%e7%b6%93%e8%b4%8a/index.html</v>
      </c>
    </row>
    <row r="207" spans="1:10">
      <c r="A207" s="10" t="s">
        <v>140</v>
      </c>
      <c r="B207" s="10" t="s">
        <v>182</v>
      </c>
      <c r="C207" s="10"/>
      <c r="D207" t="s">
        <v>1527</v>
      </c>
      <c r="E207" t="s">
        <v>218</v>
      </c>
      <c r="F207" t="s">
        <v>2571</v>
      </c>
      <c r="G207" s="14" t="s">
        <v>2361</v>
      </c>
      <c r="H207" s="14">
        <v>1872</v>
      </c>
      <c r="J207" t="str">
        <f>HYPERLINK("https://jicheng.tw/tcm/book/%e8%97%a5%e7%97%87%e5%bf%8c%e5%ae%9c/index.html")</f>
        <v>https://jicheng.tw/tcm/book/%e8%97%a5%e7%97%87%e5%bf%8c%e5%ae%9c/index.html</v>
      </c>
    </row>
    <row r="208" spans="1:10">
      <c r="A208" s="10" t="s">
        <v>140</v>
      </c>
      <c r="B208" s="10" t="s">
        <v>182</v>
      </c>
      <c r="C208" s="10"/>
      <c r="D208" t="s">
        <v>1528</v>
      </c>
      <c r="E208" t="s">
        <v>219</v>
      </c>
      <c r="F208" t="s">
        <v>2572</v>
      </c>
      <c r="G208" s="14" t="s">
        <v>2568</v>
      </c>
      <c r="H208" s="14">
        <v>1928</v>
      </c>
      <c r="J208" t="str">
        <f>HYPERLINK("https://jicheng.tw/tcm/book/%e5%a2%9e%e8%a8%82%e5%81%bd%e8%97%a5%e6%a2%9d%e8%be%a8/index.html")</f>
        <v>https://jicheng.tw/tcm/book/%e5%a2%9e%e8%a8%82%e5%81%bd%e8%97%a5%e6%a2%9d%e8%be%a8/index.html</v>
      </c>
    </row>
    <row r="209" spans="1:10">
      <c r="A209" s="10" t="s">
        <v>140</v>
      </c>
      <c r="B209" s="10" t="s">
        <v>2341</v>
      </c>
      <c r="C209" s="10"/>
      <c r="D209" t="s">
        <v>220</v>
      </c>
      <c r="E209" t="s">
        <v>220</v>
      </c>
      <c r="F209" t="s">
        <v>2363</v>
      </c>
      <c r="H209" s="14">
        <v>918</v>
      </c>
      <c r="J209" t="str">
        <f>HYPERLINK("https://jicheng.tw/tcm/book/%e6%9c%ac%e8%8d%89%e5%92%8c%e5%90%8d/index.html")</f>
        <v>https://jicheng.tw/tcm/book/%e6%9c%ac%e8%8d%89%e5%92%8c%e5%90%8d/index.html</v>
      </c>
    </row>
    <row r="210" spans="1:10">
      <c r="A210" s="10" t="s">
        <v>140</v>
      </c>
      <c r="B210" s="10" t="s">
        <v>2341</v>
      </c>
      <c r="C210" s="10"/>
      <c r="D210" t="s">
        <v>1529</v>
      </c>
      <c r="E210" t="s">
        <v>221</v>
      </c>
      <c r="F210" t="s">
        <v>2573</v>
      </c>
      <c r="J210" t="str">
        <f>HYPERLINK("https://jicheng.tw/tcm/book/%e8%97%a5%e7%a8%ae%e6%8a%84/index.html")</f>
        <v>https://jicheng.tw/tcm/book/%e8%97%a5%e7%a8%ae%e6%8a%84/index.html</v>
      </c>
    </row>
    <row r="211" spans="1:10">
      <c r="A211" s="10" t="s">
        <v>140</v>
      </c>
      <c r="B211" s="10" t="s">
        <v>2341</v>
      </c>
      <c r="C211" s="10"/>
      <c r="D211" t="s">
        <v>222</v>
      </c>
      <c r="E211" t="s">
        <v>222</v>
      </c>
      <c r="J211" t="str">
        <f>HYPERLINK("https://jicheng.tw/tcm/book/%e7%a9%80%e9%a1%9e%e6%8a%84/index.html")</f>
        <v>https://jicheng.tw/tcm/book/%e7%a9%80%e9%a1%9e%e6%8a%84/index.html</v>
      </c>
    </row>
    <row r="212" spans="1:10">
      <c r="A212" s="10" t="s">
        <v>140</v>
      </c>
      <c r="B212" s="10" t="s">
        <v>2341</v>
      </c>
      <c r="C212" s="10"/>
      <c r="D212" t="s">
        <v>223</v>
      </c>
      <c r="E212" t="s">
        <v>223</v>
      </c>
      <c r="J212" t="str">
        <f>HYPERLINK("https://jicheng.tw/tcm/book/%e9%a6%99%e8%a6%81%e6%8a%84/index.html")</f>
        <v>https://jicheng.tw/tcm/book/%e9%a6%99%e8%a6%81%e6%8a%84/index.html</v>
      </c>
    </row>
    <row r="213" spans="1:10">
      <c r="A213" s="10" t="s">
        <v>140</v>
      </c>
      <c r="B213" s="10" t="s">
        <v>2341</v>
      </c>
      <c r="C213" s="10"/>
      <c r="D213" t="s">
        <v>1530</v>
      </c>
      <c r="E213" t="s">
        <v>224</v>
      </c>
      <c r="F213" t="s">
        <v>2574</v>
      </c>
      <c r="H213" s="14">
        <v>1608</v>
      </c>
      <c r="J213" t="str">
        <f>HYPERLINK("https://jicheng.tw/tcm/book/%e8%97%a5%e6%80%a7%e8%83%bd%e6%af%92/index.html")</f>
        <v>https://jicheng.tw/tcm/book/%e8%97%a5%e6%80%a7%e8%83%bd%e6%af%92/index.html</v>
      </c>
    </row>
    <row r="214" spans="1:10">
      <c r="A214" s="10" t="s">
        <v>140</v>
      </c>
      <c r="B214" s="10" t="s">
        <v>2341</v>
      </c>
      <c r="C214" s="11"/>
      <c r="D214" t="s">
        <v>1531</v>
      </c>
      <c r="E214" t="s">
        <v>225</v>
      </c>
      <c r="F214" t="s">
        <v>2378</v>
      </c>
      <c r="G214" s="14" t="s">
        <v>2509</v>
      </c>
      <c r="H214" s="14">
        <v>1771</v>
      </c>
      <c r="J214" t="str">
        <f>HYPERLINK("https://jicheng.tw/tcm/book/%e8%97%a5%e5%be%b5/index.html")</f>
        <v>https://jicheng.tw/tcm/book/%e8%97%a5%e5%be%b5/index.html</v>
      </c>
    </row>
    <row r="215" spans="1:10">
      <c r="A215" s="10" t="s">
        <v>140</v>
      </c>
      <c r="B215" s="10" t="s">
        <v>2341</v>
      </c>
      <c r="C215" s="11"/>
      <c r="D215" t="s">
        <v>1532</v>
      </c>
      <c r="E215" t="s">
        <v>226</v>
      </c>
      <c r="F215" t="s">
        <v>2575</v>
      </c>
      <c r="G215" s="14" t="s">
        <v>2509</v>
      </c>
      <c r="H215" s="14">
        <v>1796</v>
      </c>
      <c r="J215" t="str">
        <f>HYPERLINK("https://jicheng.tw/tcm/book/%e8%97%a5%e5%be%b5%e7%ba%8c%e7%b7%a8/index.html")</f>
        <v>https://jicheng.tw/tcm/book/%e8%97%a5%e5%be%b5%e7%ba%8c%e7%b7%a8/index.html</v>
      </c>
    </row>
    <row r="216" spans="1:10">
      <c r="A216" s="10" t="s">
        <v>140</v>
      </c>
      <c r="B216" s="10" t="s">
        <v>2341</v>
      </c>
      <c r="C216" s="10"/>
      <c r="D216" t="s">
        <v>1533</v>
      </c>
      <c r="E216" t="s">
        <v>227</v>
      </c>
      <c r="F216" t="s">
        <v>2576</v>
      </c>
      <c r="J216" t="str">
        <f>HYPERLINK("https://jicheng.tw/tcm/book/%e6%bc%a2%e8%97%a5%e7%a0%94%e7%a9%b6%e7%b6%b1%e8%a6%81/index.html")</f>
        <v>https://jicheng.tw/tcm/book/%e6%bc%a2%e8%97%a5%e7%a0%94%e7%a9%b6%e7%b6%b1%e8%a6%81/index.html</v>
      </c>
    </row>
    <row r="217" spans="1:10">
      <c r="A217" s="10" t="s">
        <v>140</v>
      </c>
      <c r="B217" s="10" t="s">
        <v>2341</v>
      </c>
      <c r="C217" s="10"/>
      <c r="D217" t="s">
        <v>1534</v>
      </c>
      <c r="E217" t="s">
        <v>228</v>
      </c>
      <c r="F217" t="s">
        <v>2577</v>
      </c>
      <c r="G217" s="14" t="s">
        <v>2568</v>
      </c>
      <c r="H217" s="14">
        <v>1936</v>
      </c>
      <c r="J217" t="str">
        <f>HYPERLINK("https://jicheng.tw/tcm/book/%e4%b8%ad%e5%9c%8b%e8%97%a5%e7%89%a9%e5%ad%b8%e5%a4%a7%e7%b6%b1/index.html")</f>
        <v>https://jicheng.tw/tcm/book/%e4%b8%ad%e5%9c%8b%e8%97%a5%e7%89%a9%e5%ad%b8%e5%a4%a7%e7%b6%b1/index.html</v>
      </c>
    </row>
    <row r="218" spans="1:10">
      <c r="A218" s="10" t="s">
        <v>140</v>
      </c>
      <c r="B218" s="10" t="s">
        <v>2341</v>
      </c>
      <c r="C218" s="10"/>
      <c r="D218" t="s">
        <v>229</v>
      </c>
      <c r="E218" t="s">
        <v>229</v>
      </c>
      <c r="F218" t="s">
        <v>2578</v>
      </c>
      <c r="J218" t="str">
        <f>HYPERLINK("https://jicheng.tw/tcm/book/%e9%b9%bf%e8%8c%b8%e4%b9%8b%e7%a0%94%e7%a9%b6/index.html")</f>
        <v>https://jicheng.tw/tcm/book/%e9%b9%bf%e8%8c%b8%e4%b9%8b%e7%a0%94%e7%a9%b6/index.html</v>
      </c>
    </row>
    <row r="219" spans="1:10">
      <c r="A219" s="10" t="s">
        <v>140</v>
      </c>
      <c r="B219" s="10" t="s">
        <v>2341</v>
      </c>
      <c r="C219" s="10"/>
      <c r="D219" t="s">
        <v>1535</v>
      </c>
      <c r="E219" t="s">
        <v>230</v>
      </c>
      <c r="F219" t="s">
        <v>2579</v>
      </c>
      <c r="J219" t="str">
        <f>HYPERLINK("https://jicheng.tw/tcm/book/%e7%8a%80%e9%bb%83%e4%b9%8b%e7%a0%94%e7%a9%b6/index.html")</f>
        <v>https://jicheng.tw/tcm/book/%e7%8a%80%e9%bb%83%e4%b9%8b%e7%a0%94%e7%a9%b6/index.html</v>
      </c>
    </row>
    <row r="220" spans="1:10">
      <c r="A220" s="10" t="s">
        <v>140</v>
      </c>
      <c r="B220" s="10" t="s">
        <v>2341</v>
      </c>
      <c r="C220" s="10"/>
      <c r="D220" t="s">
        <v>1536</v>
      </c>
      <c r="E220" t="s">
        <v>231</v>
      </c>
      <c r="F220" t="s">
        <v>2580</v>
      </c>
      <c r="G220" s="14" t="s">
        <v>2568</v>
      </c>
      <c r="H220" s="14">
        <v>1936</v>
      </c>
      <c r="J220" t="str">
        <f>HYPERLINK("https://jicheng.tw/tcm/book/%e4%b8%ad%e5%9c%8b%e8%97%a5%e4%b8%80%e7%99%be%e7%a8%ae%e4%b9%8b%e5%8c%96%e5%ad%b8%e5%af%a6%e9%a9%97/index.html")</f>
        <v>https://jicheng.tw/tcm/book/%e4%b8%ad%e5%9c%8b%e8%97%a5%e4%b8%80%e7%99%be%e7%a8%ae%e4%b9%8b%e5%8c%96%e5%ad%b8%e5%af%a6%e9%a9%97/index.html</v>
      </c>
    </row>
    <row r="221" spans="1:10">
      <c r="A221" s="10" t="s">
        <v>140</v>
      </c>
      <c r="B221" s="10" t="s">
        <v>2341</v>
      </c>
      <c r="C221" s="10"/>
      <c r="D221" t="s">
        <v>1537</v>
      </c>
      <c r="E221" t="s">
        <v>232</v>
      </c>
      <c r="F221" t="s">
        <v>2581</v>
      </c>
      <c r="J221" t="str">
        <f>HYPERLINK("https://jicheng.tw/tcm/book/%e6%bc%a2%e8%97%a5%e8%89%af%e5%8a%a3%e9%91%91%e5%88%a5%e6%b3%95/index.html")</f>
        <v>https://jicheng.tw/tcm/book/%e6%bc%a2%e8%97%a5%e8%89%af%e5%8a%a3%e9%91%91%e5%88%a5%e6%b3%95/index.html</v>
      </c>
    </row>
    <row r="222" spans="1:10">
      <c r="A222" s="10" t="s">
        <v>140</v>
      </c>
      <c r="B222" s="10" t="s">
        <v>2341</v>
      </c>
      <c r="C222" s="10"/>
      <c r="D222" t="s">
        <v>2364</v>
      </c>
      <c r="E222" t="s">
        <v>233</v>
      </c>
      <c r="F222" t="s">
        <v>2582</v>
      </c>
      <c r="G222" s="14" t="s">
        <v>2568</v>
      </c>
      <c r="H222" s="14">
        <v>1936</v>
      </c>
      <c r="J222" t="str">
        <f>HYPERLINK("https://jicheng.tw/tcm/book/%e4%b8%ad%e5%9c%8b%e9%86%ab%e8%97%a5%e8%ab%96%e6%96%87%e9%9b%86/index.html")</f>
        <v>https://jicheng.tw/tcm/book/%e4%b8%ad%e5%9c%8b%e9%86%ab%e8%97%a5%e8%ab%96%e6%96%87%e9%9b%86/index.html</v>
      </c>
    </row>
    <row r="223" spans="1:10">
      <c r="A223" s="10" t="s">
        <v>140</v>
      </c>
      <c r="B223" s="10" t="s">
        <v>1538</v>
      </c>
      <c r="C223" s="10"/>
      <c r="D223" t="s">
        <v>234</v>
      </c>
      <c r="E223" t="s">
        <v>234</v>
      </c>
      <c r="F223" t="s">
        <v>2583</v>
      </c>
      <c r="G223" s="14" t="s">
        <v>2603</v>
      </c>
      <c r="H223" s="14">
        <v>470</v>
      </c>
      <c r="J223" t="str">
        <f>HYPERLINK("https://jicheng.tw/tcm/book/%e9%9b%b7%e5%85%ac%e7%82%ae%e7%82%99%e8%ab%96/index.html")</f>
        <v>https://jicheng.tw/tcm/book/%e9%9b%b7%e5%85%ac%e7%82%ae%e7%82%99%e8%ab%96/index.html</v>
      </c>
    </row>
    <row r="224" spans="1:10">
      <c r="A224" s="10" t="s">
        <v>140</v>
      </c>
      <c r="B224" s="10" t="s">
        <v>1538</v>
      </c>
      <c r="C224" s="10"/>
      <c r="D224" t="s">
        <v>235</v>
      </c>
      <c r="E224" t="s">
        <v>235</v>
      </c>
      <c r="F224" t="s">
        <v>2584</v>
      </c>
      <c r="G224" s="14" t="s">
        <v>2586</v>
      </c>
      <c r="H224" s="14" t="s">
        <v>2585</v>
      </c>
      <c r="J224" t="str">
        <f>HYPERLINK("https://jicheng.tw/tcm/book/%e7%80%95%e6%b9%96%e7%82%ae%e7%82%99%e6%b3%95/index.html")</f>
        <v>https://jicheng.tw/tcm/book/%e7%80%95%e6%b9%96%e7%82%ae%e7%82%99%e6%b3%95/index.html</v>
      </c>
    </row>
    <row r="225" spans="1:10">
      <c r="A225" s="10" t="s">
        <v>140</v>
      </c>
      <c r="B225" s="10" t="s">
        <v>1538</v>
      </c>
      <c r="C225" s="10"/>
      <c r="D225" t="s">
        <v>236</v>
      </c>
      <c r="E225" t="s">
        <v>236</v>
      </c>
      <c r="F225" t="s">
        <v>2409</v>
      </c>
      <c r="G225" s="14" t="s">
        <v>2586</v>
      </c>
      <c r="H225" s="14">
        <v>1622</v>
      </c>
      <c r="J225" t="str">
        <f>HYPERLINK("https://jicheng.tw/tcm/book/%e7%82%ae%e7%82%99%e5%a4%a7%e6%b3%95/index.html")</f>
        <v>https://jicheng.tw/tcm/book/%e7%82%ae%e7%82%99%e5%a4%a7%e6%b3%95/index.html</v>
      </c>
    </row>
    <row r="226" spans="1:10">
      <c r="A226" s="10" t="s">
        <v>140</v>
      </c>
      <c r="B226" s="10" t="s">
        <v>1538</v>
      </c>
      <c r="C226" s="10"/>
      <c r="D226" t="s">
        <v>237</v>
      </c>
      <c r="E226" t="s">
        <v>237</v>
      </c>
      <c r="F226" t="s">
        <v>2587</v>
      </c>
      <c r="G226" s="14" t="s">
        <v>2509</v>
      </c>
      <c r="H226" s="14">
        <v>1702</v>
      </c>
      <c r="J226" t="str">
        <f>HYPERLINK("https://jicheng.tw/tcm/book/%e7%82%ae%e7%82%99%e5%85%a8%e6%9b%b8/index.html")</f>
        <v>https://jicheng.tw/tcm/book/%e7%82%ae%e7%82%99%e5%85%a8%e6%9b%b8/index.html</v>
      </c>
    </row>
    <row r="227" spans="1:10">
      <c r="A227" s="10" t="s">
        <v>1539</v>
      </c>
      <c r="B227" s="10" t="s">
        <v>1540</v>
      </c>
      <c r="C227" s="10"/>
      <c r="D227" t="s">
        <v>238</v>
      </c>
      <c r="E227" t="s">
        <v>238</v>
      </c>
      <c r="G227" s="14" t="s">
        <v>2589</v>
      </c>
      <c r="H227" s="14">
        <v>-215</v>
      </c>
      <c r="J227" t="str">
        <f>HYPERLINK("https://jicheng.tw/tcm/book/%e4%ba%94%e5%8d%81%e4%ba%8c%e7%97%85%e6%96%b9/index.html")</f>
        <v>https://jicheng.tw/tcm/book/%e4%ba%94%e5%8d%81%e4%ba%8c%e7%97%85%e6%96%b9/index.html</v>
      </c>
    </row>
    <row r="228" spans="1:10">
      <c r="A228" s="10" t="s">
        <v>1539</v>
      </c>
      <c r="B228" s="10" t="s">
        <v>1540</v>
      </c>
      <c r="C228" s="10"/>
      <c r="D228" t="s">
        <v>239</v>
      </c>
      <c r="E228" t="s">
        <v>239</v>
      </c>
      <c r="F228" t="s">
        <v>2590</v>
      </c>
      <c r="G228" s="14" t="s">
        <v>2592</v>
      </c>
      <c r="H228" s="14">
        <v>341</v>
      </c>
      <c r="J228" t="str">
        <f>HYPERLINK("https://jicheng.tw/tcm/book/%e8%82%98%e5%be%8c%e5%82%99%e6%80%a5%e6%96%b9/index.html")</f>
        <v>https://jicheng.tw/tcm/book/%e8%82%98%e5%be%8c%e5%82%99%e6%80%a5%e6%96%b9/index.html</v>
      </c>
    </row>
    <row r="229" spans="1:10">
      <c r="A229" s="10" t="s">
        <v>1539</v>
      </c>
      <c r="B229" s="10" t="s">
        <v>1540</v>
      </c>
      <c r="C229" s="10"/>
      <c r="D229" t="s">
        <v>240</v>
      </c>
      <c r="E229" t="s">
        <v>240</v>
      </c>
      <c r="F229" t="s">
        <v>2593</v>
      </c>
      <c r="G229" s="14" t="s">
        <v>2512</v>
      </c>
      <c r="H229" s="14">
        <v>1572</v>
      </c>
      <c r="J229" t="str">
        <f>HYPERLINK("https://jicheng.tw/tcm/book/%e5%ad%ab%e7%9c%9f%e4%ba%ba%e6%b5%b7%e4%b8%8a%e6%96%b9/index.html")</f>
        <v>https://jicheng.tw/tcm/book/%e5%ad%ab%e7%9c%9f%e4%ba%ba%e6%b5%b7%e4%b8%8a%e6%96%b9/index.html</v>
      </c>
    </row>
    <row r="230" spans="1:10">
      <c r="A230" s="10" t="s">
        <v>1539</v>
      </c>
      <c r="B230" s="10" t="s">
        <v>1540</v>
      </c>
      <c r="C230" s="10"/>
      <c r="D230" t="s">
        <v>1541</v>
      </c>
      <c r="E230" t="s">
        <v>241</v>
      </c>
      <c r="F230" t="s">
        <v>2594</v>
      </c>
      <c r="G230" s="14" t="s">
        <v>2512</v>
      </c>
      <c r="H230" s="14">
        <v>846</v>
      </c>
      <c r="J230" t="str">
        <f>HYPERLINK("https://jicheng.tw/tcm/book/%e4%bb%99%e6%8e%88%e7%90%86%e5%82%b7%e7%ba%8c%e6%96%b7%e7%a7%98%e6%96%b9/index.html")</f>
        <v>https://jicheng.tw/tcm/book/%e4%bb%99%e6%8e%88%e7%90%86%e5%82%b7%e7%ba%8c%e6%96%b7%e7%a7%98%e6%96%b9/index.html</v>
      </c>
    </row>
    <row r="231" spans="1:10">
      <c r="A231" s="10" t="s">
        <v>1539</v>
      </c>
      <c r="B231" s="10" t="s">
        <v>1540</v>
      </c>
      <c r="C231" s="10"/>
      <c r="D231" t="s">
        <v>242</v>
      </c>
      <c r="E231" t="s">
        <v>242</v>
      </c>
      <c r="F231" t="s">
        <v>2595</v>
      </c>
      <c r="G231" s="14" t="s">
        <v>2597</v>
      </c>
      <c r="H231" s="14" t="s">
        <v>2598</v>
      </c>
      <c r="J231" t="str">
        <f>HYPERLINK("https://jicheng.tw/tcm/book/%e8%8f%af%e4%bd%97%e7%a5%9e%e6%96%b9/index.html")</f>
        <v>https://jicheng.tw/tcm/book/%e8%8f%af%e4%bd%97%e7%a5%9e%e6%96%b9/index.html</v>
      </c>
    </row>
    <row r="232" spans="1:10">
      <c r="A232" s="10" t="s">
        <v>1539</v>
      </c>
      <c r="B232" s="10" t="s">
        <v>1540</v>
      </c>
      <c r="C232" s="10"/>
      <c r="D232" t="s">
        <v>243</v>
      </c>
      <c r="E232" t="s">
        <v>243</v>
      </c>
      <c r="F232" t="s">
        <v>2599</v>
      </c>
      <c r="G232" s="14" t="s">
        <v>2600</v>
      </c>
      <c r="J232" t="str">
        <f>HYPERLINK("https://jicheng.tw/tcm/book/%e5%b0%8f%e5%93%81%e6%96%b9/index.html")</f>
        <v>https://jicheng.tw/tcm/book/%e5%b0%8f%e5%93%81%e6%96%b9/index.html</v>
      </c>
    </row>
    <row r="233" spans="1:10">
      <c r="A233" s="10" t="s">
        <v>1539</v>
      </c>
      <c r="B233" s="10" t="s">
        <v>1542</v>
      </c>
      <c r="C233" s="10"/>
      <c r="D233" t="s">
        <v>1543</v>
      </c>
      <c r="E233" t="s">
        <v>244</v>
      </c>
      <c r="F233" t="s">
        <v>2694</v>
      </c>
      <c r="G233" s="14" t="s">
        <v>2604</v>
      </c>
      <c r="H233" s="14">
        <v>992</v>
      </c>
      <c r="J233" t="str">
        <f>HYPERLINK("https://jicheng.tw/tcm/book/%e5%a4%aa%e5%b9%b3%e8%81%96%e6%83%a0%e6%96%b9/index.html")</f>
        <v>https://jicheng.tw/tcm/book/%e5%a4%aa%e5%b9%b3%e8%81%96%e6%83%a0%e6%96%b9/index.html</v>
      </c>
    </row>
    <row r="234" spans="1:10">
      <c r="A234" s="10" t="s">
        <v>1539</v>
      </c>
      <c r="B234" s="10" t="s">
        <v>1542</v>
      </c>
      <c r="C234" s="10"/>
      <c r="D234" t="s">
        <v>1544</v>
      </c>
      <c r="E234" t="s">
        <v>245</v>
      </c>
      <c r="F234" t="s">
        <v>2605</v>
      </c>
      <c r="G234" s="14" t="s">
        <v>2604</v>
      </c>
      <c r="H234" s="14">
        <v>1047</v>
      </c>
      <c r="J234" t="str">
        <f>HYPERLINK("https://jicheng.tw/tcm/book/%e5%8d%9a%e6%bf%9f%e6%96%b9/index.html")</f>
        <v>https://jicheng.tw/tcm/book/%e5%8d%9a%e6%bf%9f%e6%96%b9/index.html</v>
      </c>
    </row>
    <row r="235" spans="1:10">
      <c r="A235" s="10" t="s">
        <v>1539</v>
      </c>
      <c r="B235" s="10" t="s">
        <v>1542</v>
      </c>
      <c r="C235" s="10"/>
      <c r="D235" t="s">
        <v>246</v>
      </c>
      <c r="E235" t="s">
        <v>246</v>
      </c>
      <c r="F235" t="s">
        <v>2606</v>
      </c>
      <c r="G235" s="14" t="s">
        <v>2604</v>
      </c>
      <c r="H235" s="14">
        <v>1075</v>
      </c>
      <c r="J235" t="str">
        <f>HYPERLINK("https://jicheng.tw/tcm/book/%e8%98%87%e6%b2%88%e8%89%af%e6%96%b9/index.html")</f>
        <v>https://jicheng.tw/tcm/book/%e8%98%87%e6%b2%88%e8%89%af%e6%96%b9/index.html</v>
      </c>
    </row>
    <row r="236" spans="1:10">
      <c r="A236" s="10" t="s">
        <v>1539</v>
      </c>
      <c r="B236" s="10" t="s">
        <v>1542</v>
      </c>
      <c r="C236" s="10"/>
      <c r="D236" t="s">
        <v>247</v>
      </c>
      <c r="E236" t="s">
        <v>247</v>
      </c>
      <c r="F236" t="s">
        <v>2607</v>
      </c>
      <c r="G236" s="14" t="s">
        <v>2604</v>
      </c>
      <c r="H236" s="14">
        <v>1068</v>
      </c>
      <c r="J236" t="str">
        <f>HYPERLINK("https://jicheng.tw/tcm/book/%e5%8f%b2%e8%bc%89%e4%b9%8b%e6%96%b9/index.html")</f>
        <v>https://jicheng.tw/tcm/book/%e5%8f%b2%e8%bc%89%e4%b9%8b%e6%96%b9/index.html</v>
      </c>
    </row>
    <row r="237" spans="1:10">
      <c r="A237" s="10" t="s">
        <v>1539</v>
      </c>
      <c r="B237" s="10" t="s">
        <v>1542</v>
      </c>
      <c r="C237" s="10"/>
      <c r="D237" t="s">
        <v>1545</v>
      </c>
      <c r="E237" t="s">
        <v>248</v>
      </c>
      <c r="F237" t="s">
        <v>2608</v>
      </c>
      <c r="G237" s="14" t="s">
        <v>2604</v>
      </c>
      <c r="H237" s="14" t="s">
        <v>2609</v>
      </c>
      <c r="J237" t="str">
        <f>HYPERLINK("https://jicheng.tw/tcm/book/%e5%a4%aa%e5%b9%b3%e6%83%a0%e6%b0%91%e5%92%8c%e5%8a%91%e5%b1%80%e6%96%b9/index.html")</f>
        <v>https://jicheng.tw/tcm/book/%e5%a4%aa%e5%b9%b3%e6%83%a0%e6%b0%91%e5%92%8c%e5%8a%91%e5%b1%80%e6%96%b9/index.html</v>
      </c>
    </row>
    <row r="238" spans="1:10">
      <c r="A238" s="10" t="s">
        <v>1539</v>
      </c>
      <c r="B238" s="10" t="s">
        <v>1542</v>
      </c>
      <c r="C238" s="10"/>
      <c r="D238" t="s">
        <v>1546</v>
      </c>
      <c r="E238" t="s">
        <v>249</v>
      </c>
      <c r="F238" t="s">
        <v>2608</v>
      </c>
      <c r="G238" s="14" t="s">
        <v>2604</v>
      </c>
      <c r="J238" t="str">
        <f>HYPERLINK("https://jicheng.tw/tcm/book/%e5%a4%aa%e5%b9%b3%e6%83%a0%e6%b0%91%e5%92%8c%e5%8a%91%e5%b1%80%e6%96%b9%5f%31/index.html")</f>
        <v>https://jicheng.tw/tcm/book/%e5%a4%aa%e5%b9%b3%e6%83%a0%e6%b0%91%e5%92%8c%e5%8a%91%e5%b1%80%e6%96%b9%5f%31/index.html</v>
      </c>
    </row>
    <row r="239" spans="1:10">
      <c r="A239" s="10" t="s">
        <v>1539</v>
      </c>
      <c r="B239" s="10" t="s">
        <v>1542</v>
      </c>
      <c r="C239" s="10"/>
      <c r="D239" t="s">
        <v>1547</v>
      </c>
      <c r="E239" t="s">
        <v>250</v>
      </c>
      <c r="F239" t="s">
        <v>2693</v>
      </c>
      <c r="G239" s="14" t="s">
        <v>2604</v>
      </c>
      <c r="H239" s="14" t="s">
        <v>2610</v>
      </c>
      <c r="J239" t="str">
        <f>HYPERLINK("https://jicheng.tw/tcm/book/%e8%81%96%e6%bf%9f%e7%b8%bd%e9%8c%84/index.html")</f>
        <v>https://jicheng.tw/tcm/book/%e8%81%96%e6%bf%9f%e7%b8%bd%e9%8c%84/index.html</v>
      </c>
    </row>
    <row r="240" spans="1:10">
      <c r="A240" s="10" t="s">
        <v>1539</v>
      </c>
      <c r="B240" s="10" t="s">
        <v>1542</v>
      </c>
      <c r="C240" s="10"/>
      <c r="D240" t="s">
        <v>1548</v>
      </c>
      <c r="E240" t="s">
        <v>251</v>
      </c>
      <c r="F240" t="s">
        <v>2611</v>
      </c>
      <c r="G240" s="14" t="s">
        <v>2612</v>
      </c>
      <c r="H240" s="14">
        <v>1681</v>
      </c>
      <c r="J240" t="str">
        <f>HYPERLINK("https://jicheng.tw/tcm/book/%e8%81%96%e6%bf%9f%e7%b8%bd%e9%8c%84%e7%ba%82%e8%a6%81/index.html")</f>
        <v>https://jicheng.tw/tcm/book/%e8%81%96%e6%bf%9f%e7%b8%bd%e9%8c%84%e7%ba%82%e8%a6%81/index.html</v>
      </c>
    </row>
    <row r="241" spans="1:10">
      <c r="A241" s="10" t="s">
        <v>1539</v>
      </c>
      <c r="B241" s="10" t="s">
        <v>1542</v>
      </c>
      <c r="C241" s="10"/>
      <c r="D241" t="s">
        <v>1549</v>
      </c>
      <c r="E241" t="s">
        <v>252</v>
      </c>
      <c r="F241" t="s">
        <v>2613</v>
      </c>
      <c r="G241" s="14" t="s">
        <v>2604</v>
      </c>
      <c r="H241" s="14">
        <v>1133</v>
      </c>
      <c r="J241" t="str">
        <f>HYPERLINK("https://jicheng.tw/tcm/book/%e9%9b%9e%e5%b3%b0%e6%99%ae%e6%bf%9f%e6%96%b9/index.html")</f>
        <v>https://jicheng.tw/tcm/book/%e9%9b%9e%e5%b3%b0%e6%99%ae%e6%bf%9f%e6%96%b9/index.html</v>
      </c>
    </row>
    <row r="242" spans="1:10">
      <c r="A242" s="10" t="s">
        <v>1539</v>
      </c>
      <c r="B242" s="10" t="s">
        <v>1542</v>
      </c>
      <c r="C242" s="10"/>
      <c r="D242" t="s">
        <v>1550</v>
      </c>
      <c r="E242" t="s">
        <v>253</v>
      </c>
      <c r="F242" t="s">
        <v>2614</v>
      </c>
      <c r="G242" s="14" t="s">
        <v>2615</v>
      </c>
      <c r="H242" s="14">
        <v>1132</v>
      </c>
      <c r="J242" t="str">
        <f>HYPERLINK("https://jicheng.tw/tcm/book/%e6%99%ae%e6%bf%9f%e6%9c%ac%e4%ba%8b%e6%96%b9/index.html")</f>
        <v>https://jicheng.tw/tcm/book/%e6%99%ae%e6%bf%9f%e6%9c%ac%e4%ba%8b%e6%96%b9/index.html</v>
      </c>
    </row>
    <row r="243" spans="1:10">
      <c r="A243" s="10" t="s">
        <v>1539</v>
      </c>
      <c r="B243" s="10" t="s">
        <v>1542</v>
      </c>
      <c r="C243" s="10"/>
      <c r="D243" t="s">
        <v>1551</v>
      </c>
      <c r="E243" t="s">
        <v>254</v>
      </c>
      <c r="F243" t="s">
        <v>2616</v>
      </c>
      <c r="G243" s="14" t="s">
        <v>2604</v>
      </c>
      <c r="H243" s="14">
        <v>1170</v>
      </c>
      <c r="J243" t="str">
        <f>HYPERLINK("https://jicheng.tw/tcm/book/%e6%b4%aa%e6%b0%8f%e9%9b%86%e9%a9%97%e6%96%b9/index.html")</f>
        <v>https://jicheng.tw/tcm/book/%e6%b4%aa%e6%b0%8f%e9%9b%86%e9%a9%97%e6%96%b9/index.html</v>
      </c>
    </row>
    <row r="244" spans="1:10">
      <c r="A244" s="10" t="s">
        <v>1539</v>
      </c>
      <c r="B244" s="10" t="s">
        <v>1542</v>
      </c>
      <c r="C244" s="10"/>
      <c r="D244" t="s">
        <v>1552</v>
      </c>
      <c r="E244" t="s">
        <v>255</v>
      </c>
      <c r="F244" t="s">
        <v>2617</v>
      </c>
      <c r="G244" s="14" t="s">
        <v>2615</v>
      </c>
      <c r="H244" s="14">
        <v>1178</v>
      </c>
      <c r="J244" t="str">
        <f>HYPERLINK("https://jicheng.tw/tcm/book/%e6%a5%8a%e6%b0%8f%e5%ae%b6%e8%97%8f%e6%96%b9/index.html")</f>
        <v>https://jicheng.tw/tcm/book/%e6%a5%8a%e6%b0%8f%e5%ae%b6%e8%97%8f%e6%96%b9/index.html</v>
      </c>
    </row>
    <row r="245" spans="1:10">
      <c r="A245" s="10" t="s">
        <v>1539</v>
      </c>
      <c r="B245" s="10" t="s">
        <v>1542</v>
      </c>
      <c r="C245" s="10"/>
      <c r="D245" t="s">
        <v>1553</v>
      </c>
      <c r="E245" t="s">
        <v>256</v>
      </c>
      <c r="F245" t="s">
        <v>2618</v>
      </c>
      <c r="G245" s="14" t="s">
        <v>2604</v>
      </c>
      <c r="H245" s="14">
        <v>1124</v>
      </c>
      <c r="J245" t="str">
        <f>HYPERLINK("https://jicheng.tw/tcm/book/%e5%8d%83%e9%87%91%e5%af%b6%e8%a6%81/index.html")</f>
        <v>https://jicheng.tw/tcm/book/%e5%8d%83%e9%87%91%e5%af%b6%e8%a6%81/index.html</v>
      </c>
    </row>
    <row r="246" spans="1:10">
      <c r="A246" s="10" t="s">
        <v>1539</v>
      </c>
      <c r="B246" s="10" t="s">
        <v>1542</v>
      </c>
      <c r="C246" s="10"/>
      <c r="D246" t="s">
        <v>257</v>
      </c>
      <c r="E246" t="s">
        <v>257</v>
      </c>
      <c r="F246" t="s">
        <v>2619</v>
      </c>
      <c r="G246" s="14" t="s">
        <v>2604</v>
      </c>
      <c r="H246" s="14" t="s">
        <v>2620</v>
      </c>
      <c r="J246" t="str">
        <f>HYPERLINK("https://jicheng.tw/tcm/book/%e5%85%a8%e7%94%9f%e6%8c%87%e8%bf%b7%e6%96%b9/index.html")</f>
        <v>https://jicheng.tw/tcm/book/%e5%85%a8%e7%94%9f%e6%8c%87%e8%bf%b7%e6%96%b9/index.html</v>
      </c>
    </row>
    <row r="247" spans="1:10">
      <c r="A247" s="10" t="s">
        <v>1539</v>
      </c>
      <c r="B247" s="10" t="s">
        <v>1542</v>
      </c>
      <c r="C247" s="10"/>
      <c r="D247" t="s">
        <v>258</v>
      </c>
      <c r="E247" t="s">
        <v>258</v>
      </c>
      <c r="F247" t="s">
        <v>2621</v>
      </c>
      <c r="G247" s="14" t="s">
        <v>2622</v>
      </c>
      <c r="H247" s="14">
        <v>1237</v>
      </c>
      <c r="J247" t="str">
        <f>HYPERLINK("https://jicheng.tw/tcm/book/%e5%a9%a6%e4%ba%ba%e5%a4%a7%e5%85%a8%e8%89%af%e6%96%b9/index.html")</f>
        <v>https://jicheng.tw/tcm/book/%e5%a9%a6%e4%ba%ba%e5%a4%a7%e5%85%a8%e8%89%af%e6%96%b9/index.html</v>
      </c>
    </row>
    <row r="248" spans="1:10">
      <c r="A248" s="10" t="s">
        <v>1539</v>
      </c>
      <c r="B248" s="10" t="s">
        <v>1542</v>
      </c>
      <c r="C248" s="10"/>
      <c r="D248" t="s">
        <v>1554</v>
      </c>
      <c r="E248" t="s">
        <v>259</v>
      </c>
      <c r="F248" t="s">
        <v>2623</v>
      </c>
      <c r="G248" s="14" t="s">
        <v>2622</v>
      </c>
      <c r="H248" s="14">
        <v>1264</v>
      </c>
      <c r="J248" t="str">
        <f>HYPERLINK("https://jicheng.tw/tcm/book/%e4%bb%81%e9%bd%8b%e7%9b%b4%e6%8c%87%e6%96%b9%e8%ab%96/index.html")</f>
        <v>https://jicheng.tw/tcm/book/%e4%bb%81%e9%bd%8b%e7%9b%b4%e6%8c%87%e6%96%b9%e8%ab%96/index.html</v>
      </c>
    </row>
    <row r="249" spans="1:10">
      <c r="A249" s="10" t="s">
        <v>1539</v>
      </c>
      <c r="B249" s="10" t="s">
        <v>1542</v>
      </c>
      <c r="C249" s="10"/>
      <c r="D249" t="s">
        <v>1555</v>
      </c>
      <c r="E249" t="s">
        <v>260</v>
      </c>
      <c r="F249" t="s">
        <v>2624</v>
      </c>
      <c r="G249" s="14" t="s">
        <v>2622</v>
      </c>
      <c r="H249" s="14">
        <v>1253</v>
      </c>
      <c r="J249" t="str">
        <f>HYPERLINK("https://jicheng.tw/tcm/book/%e5%9a%b4%e6%b0%8f%e6%bf%9f%e7%94%9f%e6%96%b9/index.html")</f>
        <v>https://jicheng.tw/tcm/book/%e5%9a%b4%e6%b0%8f%e6%bf%9f%e7%94%9f%e6%96%b9/index.html</v>
      </c>
    </row>
    <row r="250" spans="1:10">
      <c r="A250" s="10" t="s">
        <v>1539</v>
      </c>
      <c r="B250" s="10" t="s">
        <v>1542</v>
      </c>
      <c r="C250" s="10"/>
      <c r="D250" t="s">
        <v>1556</v>
      </c>
      <c r="E250" t="s">
        <v>261</v>
      </c>
      <c r="F250" t="s">
        <v>2625</v>
      </c>
      <c r="G250" s="14" t="s">
        <v>2626</v>
      </c>
      <c r="H250" s="14">
        <v>1326</v>
      </c>
      <c r="J250" t="str">
        <f>HYPERLINK("https://jicheng.tw/tcm/book/%e7%91%9e%e7%ab%b9%e5%a0%82%e7%b6%93%e9%a9%97%e6%96%b9/index.html")</f>
        <v>https://jicheng.tw/tcm/book/%e7%91%9e%e7%ab%b9%e5%a0%82%e7%b6%93%e9%a9%97%e6%96%b9/index.html</v>
      </c>
    </row>
    <row r="251" spans="1:10">
      <c r="A251" s="10" t="s">
        <v>1539</v>
      </c>
      <c r="B251" s="10" t="s">
        <v>1542</v>
      </c>
      <c r="C251" s="10"/>
      <c r="D251" t="s">
        <v>1557</v>
      </c>
      <c r="E251" t="s">
        <v>262</v>
      </c>
      <c r="F251" t="s">
        <v>2625</v>
      </c>
      <c r="G251" s="14" t="s">
        <v>2626</v>
      </c>
      <c r="H251" s="14">
        <v>1326</v>
      </c>
      <c r="J251" s="4" t="str">
        <f>HYPERLINK("https://jicheng.tw/tcm/book/%E7%91%9E%E7%AB%B9%E5%A0%82%E7%B6%93%E9%A9%97%E6%96%B9%EF%BC%88%E5%9B%9B%E5%BA%AB%E6%9C%AC%EF%BC%89/index.html")</f>
        <v>https://jicheng.tw/tcm/book/%E7%91%9E%E7%AB%B9%E5%A0%82%E7%B6%93%E9%A9%97%E6%96%B9%EF%BC%88%E5%9B%9B%E5%BA%AB%E6%9C%AC%EF%BC%89/index.html</v>
      </c>
    </row>
    <row r="252" spans="1:10">
      <c r="A252" s="10" t="s">
        <v>1539</v>
      </c>
      <c r="B252" s="10" t="s">
        <v>1542</v>
      </c>
      <c r="C252" s="10"/>
      <c r="D252" t="s">
        <v>1558</v>
      </c>
      <c r="E252" t="s">
        <v>263</v>
      </c>
      <c r="F252" t="s">
        <v>2627</v>
      </c>
      <c r="G252" s="14" t="s">
        <v>2626</v>
      </c>
      <c r="H252" s="14">
        <v>1267</v>
      </c>
      <c r="J252" t="str">
        <f>HYPERLINK("https://jicheng.tw/tcm/book/%e5%be%a1%e8%97%a5%e9%99%a2%e6%96%b9/index.html")</f>
        <v>https://jicheng.tw/tcm/book/%e5%be%a1%e8%97%a5%e9%99%a2%e6%96%b9/index.html</v>
      </c>
    </row>
    <row r="253" spans="1:10">
      <c r="A253" s="10" t="s">
        <v>1539</v>
      </c>
      <c r="B253" s="10" t="s">
        <v>1542</v>
      </c>
      <c r="C253" s="10"/>
      <c r="D253" t="s">
        <v>1559</v>
      </c>
      <c r="E253" t="s">
        <v>264</v>
      </c>
      <c r="F253" t="s">
        <v>2628</v>
      </c>
      <c r="G253" s="14" t="s">
        <v>2626</v>
      </c>
      <c r="H253" s="14">
        <v>1337</v>
      </c>
      <c r="J253" t="str">
        <f>HYPERLINK("https://jicheng.tw/tcm/book/%e4%b8%96%e9%86%ab%e5%be%97%e6%95%88%e6%96%b9/index.html")</f>
        <v>https://jicheng.tw/tcm/book/%e4%b8%96%e9%86%ab%e5%be%97%e6%95%88%e6%96%b9/index.html</v>
      </c>
    </row>
    <row r="254" spans="1:10">
      <c r="A254" s="10" t="s">
        <v>1539</v>
      </c>
      <c r="B254" s="10" t="s">
        <v>1542</v>
      </c>
      <c r="C254" s="10"/>
      <c r="D254" t="s">
        <v>1560</v>
      </c>
      <c r="E254" t="s">
        <v>265</v>
      </c>
      <c r="F254" t="s">
        <v>2629</v>
      </c>
      <c r="G254" s="14" t="s">
        <v>2622</v>
      </c>
      <c r="H254" s="14">
        <v>1196</v>
      </c>
      <c r="J254" t="str">
        <f>HYPERLINK("https://jicheng.tw/tcm/book/%e6%98%af%e9%bd%8b%e7%99%be%e4%b8%80%e9%81%b8%e6%96%b9/index.html")</f>
        <v>https://jicheng.tw/tcm/book/%e6%98%af%e9%bd%8b%e7%99%be%e4%b8%80%e9%81%b8%e6%96%b9/index.html</v>
      </c>
    </row>
    <row r="255" spans="1:10">
      <c r="A255" s="10" t="s">
        <v>1539</v>
      </c>
      <c r="B255" s="10" t="s">
        <v>1542</v>
      </c>
      <c r="C255" s="10"/>
      <c r="D255" t="s">
        <v>1561</v>
      </c>
      <c r="E255" t="s">
        <v>266</v>
      </c>
      <c r="F255" t="s">
        <v>2630</v>
      </c>
      <c r="G255" s="14" t="s">
        <v>2604</v>
      </c>
      <c r="J255" t="str">
        <f>HYPERLINK("https://jicheng.tw/tcm/book/%e5%82%b3%e4%bf%a1%e9%81%a9%e7%94%a8%e6%96%b9/index.html")</f>
        <v>https://jicheng.tw/tcm/book/%e5%82%b3%e4%bf%a1%e9%81%a9%e7%94%a8%e6%96%b9/index.html</v>
      </c>
    </row>
    <row r="256" spans="1:10">
      <c r="A256" s="10" t="s">
        <v>1539</v>
      </c>
      <c r="B256" s="10" t="s">
        <v>1542</v>
      </c>
      <c r="C256" s="10"/>
      <c r="D256" t="s">
        <v>1562</v>
      </c>
      <c r="E256" t="s">
        <v>267</v>
      </c>
      <c r="F256" t="s">
        <v>2631</v>
      </c>
      <c r="G256" s="14" t="s">
        <v>2604</v>
      </c>
      <c r="H256" s="14">
        <v>1219</v>
      </c>
      <c r="J256" t="str">
        <f>HYPERLINK("https://jicheng.tw/tcm/book/%e6%b4%bb%e4%ba%ba%e4%ba%8b%e8%ad%89%e6%96%b9%e5%be%8c%e9%9b%86/index.html")</f>
        <v>https://jicheng.tw/tcm/book/%e6%b4%bb%e4%ba%ba%e4%ba%8b%e8%ad%89%e6%96%b9%e5%be%8c%e9%9b%86/index.html</v>
      </c>
    </row>
    <row r="257" spans="1:10">
      <c r="A257" s="10" t="s">
        <v>1539</v>
      </c>
      <c r="B257" s="10" t="s">
        <v>1542</v>
      </c>
      <c r="C257" s="10"/>
      <c r="D257" t="s">
        <v>1563</v>
      </c>
      <c r="E257" t="s">
        <v>268</v>
      </c>
      <c r="F257" t="s">
        <v>2632</v>
      </c>
      <c r="G257" s="14" t="s">
        <v>2604</v>
      </c>
      <c r="H257" s="14">
        <v>1265</v>
      </c>
      <c r="J257" t="str">
        <f>HYPERLINK("https://jicheng.tw/tcm/book/%e9%a1%9e%e7%b7%a8%e6%9c%b1%e6%b0%8f%e9%9b%86%e9%a9%97%e9%86%ab%e6%96%b9/index.html")</f>
        <v>https://jicheng.tw/tcm/book/%e9%a1%9e%e7%b7%a8%e6%9c%b1%e6%b0%8f%e9%9b%86%e9%a9%97%e9%86%ab%e6%96%b9/index.html</v>
      </c>
    </row>
    <row r="258" spans="1:10">
      <c r="A258" s="10" t="s">
        <v>1539</v>
      </c>
      <c r="B258" s="10" t="s">
        <v>1542</v>
      </c>
      <c r="C258" s="10"/>
      <c r="D258" t="s">
        <v>269</v>
      </c>
      <c r="E258" t="s">
        <v>269</v>
      </c>
      <c r="F258" t="s">
        <v>2633</v>
      </c>
      <c r="G258" s="14" t="s">
        <v>2604</v>
      </c>
      <c r="H258" s="14">
        <v>1283</v>
      </c>
      <c r="J258" t="str">
        <f>HYPERLINK("https://jicheng.tw/tcm/book/%e5%b6%ba%e5%8d%97%e8%a1%9b%e7%94%9f%e6%96%b9/index.html")</f>
        <v>https://jicheng.tw/tcm/book/%e5%b6%ba%e5%8d%97%e8%a1%9b%e7%94%9f%e6%96%b9/index.html</v>
      </c>
    </row>
    <row r="259" spans="1:10">
      <c r="A259" s="10" t="s">
        <v>1539</v>
      </c>
      <c r="B259" s="10" t="s">
        <v>1542</v>
      </c>
      <c r="C259" s="10"/>
      <c r="D259" t="s">
        <v>270</v>
      </c>
      <c r="E259" t="s">
        <v>270</v>
      </c>
      <c r="F259" t="s">
        <v>2634</v>
      </c>
      <c r="G259" s="14" t="s">
        <v>2635</v>
      </c>
      <c r="H259" s="14">
        <v>1644</v>
      </c>
      <c r="J259" t="str">
        <f>HYPERLINK("https://jicheng.tw/tcm/book/%e7%b5%b3%e9%9b%aa%e4%b8%b9%e6%9b%b8/index.html")</f>
        <v>https://jicheng.tw/tcm/book/%e7%b5%b3%e9%9b%aa%e4%b8%b9%e6%9b%b8/index.html</v>
      </c>
    </row>
    <row r="260" spans="1:10">
      <c r="A260" s="10" t="s">
        <v>1539</v>
      </c>
      <c r="B260" s="10" t="s">
        <v>1542</v>
      </c>
      <c r="C260" s="10"/>
      <c r="D260" t="s">
        <v>271</v>
      </c>
      <c r="E260" t="s">
        <v>271</v>
      </c>
      <c r="G260" s="14" t="s">
        <v>2604</v>
      </c>
      <c r="J260" t="str">
        <f>HYPERLINK("https://jicheng.tw/tcm/book/%e6%80%a5%e6%95%91%e4%bb%99%e6%96%b9/index.html")</f>
        <v>https://jicheng.tw/tcm/book/%e6%80%a5%e6%95%91%e4%bb%99%e6%96%b9/index.html</v>
      </c>
    </row>
    <row r="261" spans="1:10">
      <c r="A261" s="10" t="s">
        <v>1539</v>
      </c>
      <c r="B261" s="10" t="s">
        <v>1564</v>
      </c>
      <c r="C261" s="10"/>
      <c r="D261" t="s">
        <v>272</v>
      </c>
      <c r="E261" t="s">
        <v>272</v>
      </c>
      <c r="F261" t="s">
        <v>2636</v>
      </c>
      <c r="G261" s="14" t="s">
        <v>2635</v>
      </c>
      <c r="H261" s="14">
        <v>1550</v>
      </c>
      <c r="J261" t="str">
        <f>HYPERLINK("https://jicheng.tw/tcm/book/%e6%80%a5%e6%95%91%e8%89%af%e6%96%b9/index.html")</f>
        <v>https://jicheng.tw/tcm/book/%e6%80%a5%e6%95%91%e8%89%af%e6%96%b9/index.html</v>
      </c>
    </row>
    <row r="262" spans="1:10">
      <c r="A262" s="10" t="s">
        <v>1539</v>
      </c>
      <c r="B262" s="10" t="s">
        <v>1564</v>
      </c>
      <c r="C262" s="10"/>
      <c r="D262" t="s">
        <v>273</v>
      </c>
      <c r="E262" t="s">
        <v>273</v>
      </c>
      <c r="F262" t="s">
        <v>2637</v>
      </c>
      <c r="G262" s="14" t="s">
        <v>2635</v>
      </c>
      <c r="H262" s="14">
        <v>1410</v>
      </c>
      <c r="J262" t="str">
        <f>HYPERLINK("https://jicheng.tw/tcm/book/%e8%a1%9b%e7%94%9f%e6%98%93%e7%b0%a1%e6%96%b9/index.html")</f>
        <v>https://jicheng.tw/tcm/book/%e8%a1%9b%e7%94%9f%e6%98%93%e7%b0%a1%e6%96%b9/index.html</v>
      </c>
    </row>
    <row r="263" spans="1:10">
      <c r="A263" s="10" t="s">
        <v>1539</v>
      </c>
      <c r="B263" s="10" t="s">
        <v>1564</v>
      </c>
      <c r="C263" s="10"/>
      <c r="D263" t="s">
        <v>1565</v>
      </c>
      <c r="E263" t="s">
        <v>274</v>
      </c>
      <c r="F263" t="s">
        <v>2638</v>
      </c>
      <c r="G263" s="14" t="s">
        <v>2635</v>
      </c>
      <c r="H263" s="14">
        <v>1406</v>
      </c>
      <c r="J263" t="str">
        <f>HYPERLINK("https://jicheng.tw/tcm/book/%e6%99%ae%e6%bf%9f%e6%96%b9/index.html")</f>
        <v>https://jicheng.tw/tcm/book/%e6%99%ae%e6%bf%9f%e6%96%b9/index.html</v>
      </c>
    </row>
    <row r="264" spans="1:10">
      <c r="A264" s="10" t="s">
        <v>1539</v>
      </c>
      <c r="B264" s="10" t="s">
        <v>1564</v>
      </c>
      <c r="C264" s="10"/>
      <c r="D264" t="s">
        <v>1566</v>
      </c>
      <c r="E264" t="s">
        <v>275</v>
      </c>
      <c r="F264" t="s">
        <v>2638</v>
      </c>
      <c r="G264" s="14" t="s">
        <v>2635</v>
      </c>
      <c r="H264" s="14">
        <v>1406</v>
      </c>
      <c r="J264" s="4" t="str">
        <f>HYPERLINK("https://jicheng.tw/tcm/book/%E6%99%AE%E6%BF%9F%E6%96%B9/%E5%AC%B0%E5%AD%A9%E9%96%80/index.html")</f>
        <v>https://jicheng.tw/tcm/book/%E6%99%AE%E6%BF%9F%E6%96%B9/%E5%AC%B0%E5%AD%A9%E9%96%80/index.html</v>
      </c>
    </row>
    <row r="265" spans="1:10">
      <c r="A265" s="10" t="s">
        <v>1539</v>
      </c>
      <c r="B265" s="10" t="s">
        <v>1564</v>
      </c>
      <c r="C265" s="10"/>
      <c r="D265" t="s">
        <v>1567</v>
      </c>
      <c r="E265" t="s">
        <v>276</v>
      </c>
      <c r="F265" t="s">
        <v>2692</v>
      </c>
      <c r="G265" s="14" t="s">
        <v>2635</v>
      </c>
      <c r="H265" s="14">
        <v>1436</v>
      </c>
      <c r="J265" t="str">
        <f>HYPERLINK("https://jicheng.tw/tcm/book/%e5%a5%87%e6%95%88%e8%89%af%e6%96%b9/index.html")</f>
        <v>https://jicheng.tw/tcm/book/%e5%a5%87%e6%95%88%e8%89%af%e6%96%b9/index.html</v>
      </c>
    </row>
    <row r="266" spans="1:10">
      <c r="A266" s="10" t="s">
        <v>1539</v>
      </c>
      <c r="B266" s="10" t="s">
        <v>1564</v>
      </c>
      <c r="C266" s="10"/>
      <c r="D266" t="s">
        <v>1568</v>
      </c>
      <c r="E266" t="s">
        <v>277</v>
      </c>
      <c r="F266" t="s">
        <v>2639</v>
      </c>
      <c r="G266" s="14" t="s">
        <v>2635</v>
      </c>
      <c r="H266" s="14">
        <v>1584</v>
      </c>
      <c r="J266" t="str">
        <f>HYPERLINK("https://jicheng.tw/tcm/book/%e9%86%ab%e6%96%b9%e8%80%83/index.html")</f>
        <v>https://jicheng.tw/tcm/book/%e9%86%ab%e6%96%b9%e8%80%83/index.html</v>
      </c>
    </row>
    <row r="267" spans="1:10">
      <c r="A267" s="10" t="s">
        <v>1539</v>
      </c>
      <c r="B267" s="10" t="s">
        <v>1564</v>
      </c>
      <c r="C267" s="10"/>
      <c r="D267" t="s">
        <v>1569</v>
      </c>
      <c r="E267" t="s">
        <v>278</v>
      </c>
      <c r="F267" t="s">
        <v>2640</v>
      </c>
      <c r="G267" s="14" t="s">
        <v>2635</v>
      </c>
      <c r="H267" s="14">
        <v>1585</v>
      </c>
      <c r="J267" t="str">
        <f>HYPERLINK("https://jicheng.tw/tcm/book/%e4%bb%81%e8%a1%93%e4%be%bf%e8%a6%bd/index.html")</f>
        <v>https://jicheng.tw/tcm/book/%e4%bb%81%e8%a1%93%e4%be%bf%e8%a6%bd/index.html</v>
      </c>
    </row>
    <row r="268" spans="1:10">
      <c r="A268" s="10" t="s">
        <v>1539</v>
      </c>
      <c r="B268" s="10" t="s">
        <v>1564</v>
      </c>
      <c r="C268" s="10"/>
      <c r="D268" t="s">
        <v>279</v>
      </c>
      <c r="E268" t="s">
        <v>279</v>
      </c>
      <c r="F268" t="s">
        <v>2641</v>
      </c>
      <c r="G268" s="14" t="s">
        <v>2635</v>
      </c>
      <c r="H268" s="14">
        <v>1594</v>
      </c>
      <c r="J268" t="str">
        <f>HYPERLINK("https://jicheng.tw/tcm/book/%e9%ad%af%e5%ba%9c%e7%a6%81%e6%96%b9/index.html")</f>
        <v>https://jicheng.tw/tcm/book/%e9%ad%af%e5%ba%9c%e7%a6%81%e6%96%b9/index.html</v>
      </c>
    </row>
    <row r="269" spans="1:10">
      <c r="A269" s="10" t="s">
        <v>1539</v>
      </c>
      <c r="B269" s="10" t="s">
        <v>1564</v>
      </c>
      <c r="C269" s="10"/>
      <c r="D269" t="s">
        <v>1570</v>
      </c>
      <c r="E269" t="s">
        <v>280</v>
      </c>
      <c r="F269" t="s">
        <v>2642</v>
      </c>
      <c r="G269" s="14" t="s">
        <v>2635</v>
      </c>
      <c r="H269" s="14">
        <v>1640</v>
      </c>
      <c r="J269" t="str">
        <f>HYPERLINK("https://jicheng.tw/tcm/book/%e7%a5%96%e5%8a%91/index.html")</f>
        <v>https://jicheng.tw/tcm/book/%e7%a5%96%e5%8a%91/index.html</v>
      </c>
    </row>
    <row r="270" spans="1:10">
      <c r="A270" s="10" t="s">
        <v>1539</v>
      </c>
      <c r="B270" s="10" t="s">
        <v>1564</v>
      </c>
      <c r="C270" s="10"/>
      <c r="D270" t="s">
        <v>1571</v>
      </c>
      <c r="E270" t="s">
        <v>281</v>
      </c>
      <c r="F270" t="s">
        <v>2643</v>
      </c>
      <c r="G270" s="14" t="s">
        <v>2635</v>
      </c>
      <c r="H270" s="14">
        <v>1569</v>
      </c>
      <c r="J270" t="str">
        <f>HYPERLINK("https://jicheng.tw/tcm/book/%e9%86%ab%e4%be%bf/index.html")</f>
        <v>https://jicheng.tw/tcm/book/%e9%86%ab%e4%be%bf/index.html</v>
      </c>
    </row>
    <row r="271" spans="1:10">
      <c r="A271" s="10" t="s">
        <v>1539</v>
      </c>
      <c r="B271" s="10" t="s">
        <v>1564</v>
      </c>
      <c r="C271" s="10"/>
      <c r="D271" t="s">
        <v>1572</v>
      </c>
      <c r="E271" t="s">
        <v>282</v>
      </c>
      <c r="F271" t="s">
        <v>2644</v>
      </c>
      <c r="G271" s="14" t="s">
        <v>2635</v>
      </c>
      <c r="H271" s="14">
        <v>1602</v>
      </c>
      <c r="J271" s="4" t="str">
        <f>HYPERLINK("https://jicheng.tw/tcm/book/%E8%AD%89%E6%B2%BB%E6%BA%96%E7%B9%A9/%E9%A1%9E%E6%96%B9/index.html")</f>
        <v>https://jicheng.tw/tcm/book/%E8%AD%89%E6%B2%BB%E6%BA%96%E7%B9%A9/%E9%A1%9E%E6%96%B9/index.html</v>
      </c>
    </row>
    <row r="272" spans="1:10">
      <c r="A272" s="10" t="s">
        <v>1539</v>
      </c>
      <c r="B272" s="10" t="s">
        <v>1564</v>
      </c>
      <c r="C272" s="10"/>
      <c r="D272" t="s">
        <v>1573</v>
      </c>
      <c r="E272" t="s">
        <v>283</v>
      </c>
      <c r="F272" t="s">
        <v>2645</v>
      </c>
      <c r="G272" s="14" t="s">
        <v>2635</v>
      </c>
      <c r="H272" s="14">
        <v>1534</v>
      </c>
      <c r="J272" t="str">
        <f>HYPERLINK("https://jicheng.tw/tcm/book/%e6%89%b6%e5%a3%bd%e7%b2%be%e6%96%b9/index.html")</f>
        <v>https://jicheng.tw/tcm/book/%e6%89%b6%e5%a3%bd%e7%b2%be%e6%96%b9/index.html</v>
      </c>
    </row>
    <row r="273" spans="1:10">
      <c r="A273" s="10" t="s">
        <v>1539</v>
      </c>
      <c r="B273" s="10" t="s">
        <v>1564</v>
      </c>
      <c r="C273" s="10"/>
      <c r="D273" t="s">
        <v>1574</v>
      </c>
      <c r="E273" t="s">
        <v>284</v>
      </c>
      <c r="F273" t="s">
        <v>2646</v>
      </c>
      <c r="G273" s="14" t="s">
        <v>2635</v>
      </c>
      <c r="H273" s="14">
        <v>1495</v>
      </c>
      <c r="J273" t="str">
        <f>HYPERLINK("https://jicheng.tw/tcm/book/%e9%86%ab%e6%96%b9%e9%81%b8%e8%a6%81/index.html")</f>
        <v>https://jicheng.tw/tcm/book/%e9%86%ab%e6%96%b9%e9%81%b8%e8%a6%81/index.html</v>
      </c>
    </row>
    <row r="274" spans="1:10">
      <c r="A274" s="10" t="s">
        <v>1539</v>
      </c>
      <c r="B274" s="10" t="s">
        <v>1564</v>
      </c>
      <c r="C274" s="10"/>
      <c r="D274" t="s">
        <v>1575</v>
      </c>
      <c r="E274" t="s">
        <v>285</v>
      </c>
      <c r="F274" t="s">
        <v>2647</v>
      </c>
      <c r="G274" s="14" t="s">
        <v>2635</v>
      </c>
      <c r="J274" t="str">
        <f>HYPERLINK("https://jicheng.tw/tcm/book/%e5%82%85%e6%b0%8f%e9%9b%9c%e6%96%b9/index.html")</f>
        <v>https://jicheng.tw/tcm/book/%e5%82%85%e6%b0%8f%e9%9b%9c%e6%96%b9/index.html</v>
      </c>
    </row>
    <row r="275" spans="1:10">
      <c r="A275" s="10" t="s">
        <v>1539</v>
      </c>
      <c r="B275" s="10" t="s">
        <v>1564</v>
      </c>
      <c r="C275" s="10"/>
      <c r="D275" t="s">
        <v>1576</v>
      </c>
      <c r="E275" t="s">
        <v>286</v>
      </c>
      <c r="F275" t="s">
        <v>2648</v>
      </c>
      <c r="G275" s="14" t="s">
        <v>2635</v>
      </c>
      <c r="J275" t="str">
        <f>HYPERLINK("https://jicheng.tw/tcm/book/%e9%87%91%e9%8f%a1%e5%85%a7%e8%87%ba%e6%96%b9%e8%ad%b0/index.html")</f>
        <v>https://jicheng.tw/tcm/book/%e9%87%91%e9%8f%a1%e5%85%a7%e8%87%ba%e6%96%b9%e8%ad%b0/index.html</v>
      </c>
    </row>
    <row r="276" spans="1:10">
      <c r="A276" s="10" t="s">
        <v>1539</v>
      </c>
      <c r="B276" s="10" t="s">
        <v>1564</v>
      </c>
      <c r="C276" s="10"/>
      <c r="D276" t="s">
        <v>1577</v>
      </c>
      <c r="E276" t="s">
        <v>287</v>
      </c>
      <c r="F276" t="s">
        <v>2649</v>
      </c>
      <c r="G276" s="14" t="s">
        <v>2635</v>
      </c>
      <c r="J276" t="str">
        <f>HYPERLINK("https://jicheng.tw/tcm/book/%e8%90%ac%e6%b0%8f%e5%ae%b6%e6%8a%84%e6%bf%9f%e4%b8%96%e8%89%af%e6%96%b9/index.html")</f>
        <v>https://jicheng.tw/tcm/book/%e8%90%ac%e6%b0%8f%e5%ae%b6%e6%8a%84%e6%bf%9f%e4%b8%96%e8%89%af%e6%96%b9/index.html</v>
      </c>
    </row>
    <row r="277" spans="1:10">
      <c r="A277" s="10" t="s">
        <v>1539</v>
      </c>
      <c r="B277" s="10" t="s">
        <v>1564</v>
      </c>
      <c r="C277" s="10"/>
      <c r="D277" t="s">
        <v>1578</v>
      </c>
      <c r="E277" t="s">
        <v>288</v>
      </c>
      <c r="F277" t="s">
        <v>2650</v>
      </c>
      <c r="G277" s="14" t="s">
        <v>2635</v>
      </c>
      <c r="H277" s="14">
        <v>1619</v>
      </c>
      <c r="J277" t="str">
        <f>HYPERLINK("https://jicheng.tw/tcm/book/%e9%86%ab%e6%96%b9%e6%8d%b7%e5%be%91%e6%8c%87%e5%8d%97%e5%85%a8%e6%9b%b8/index.html")</f>
        <v>https://jicheng.tw/tcm/book/%e9%86%ab%e6%96%b9%e6%8d%b7%e5%be%91%e6%8c%87%e5%8d%97%e5%85%a8%e6%9b%b8/index.html</v>
      </c>
    </row>
    <row r="278" spans="1:10">
      <c r="A278" s="10" t="s">
        <v>1539</v>
      </c>
      <c r="B278" s="10" t="s">
        <v>1579</v>
      </c>
      <c r="C278" s="10"/>
      <c r="D278" t="s">
        <v>289</v>
      </c>
      <c r="E278" t="s">
        <v>289</v>
      </c>
      <c r="F278" t="s">
        <v>2691</v>
      </c>
      <c r="G278" s="14" t="s">
        <v>2612</v>
      </c>
      <c r="H278" s="14">
        <v>1752</v>
      </c>
      <c r="J278" t="str">
        <f>HYPERLINK("https://jicheng.tw/tcm/book/%e7%a8%ae%e7%a6%8f%e5%a0%82%e5%85%ac%e9%81%b8%e8%89%af%e6%96%b9/index.html")</f>
        <v>https://jicheng.tw/tcm/book/%e7%a8%ae%e7%a6%8f%e5%a0%82%e5%85%ac%e9%81%b8%e8%89%af%e6%96%b9/index.html</v>
      </c>
    </row>
    <row r="279" spans="1:10">
      <c r="A279" s="10" t="s">
        <v>1539</v>
      </c>
      <c r="B279" s="10" t="s">
        <v>1579</v>
      </c>
      <c r="C279" s="10"/>
      <c r="D279" t="s">
        <v>290</v>
      </c>
      <c r="E279" t="s">
        <v>290</v>
      </c>
      <c r="F279" t="s">
        <v>2651</v>
      </c>
      <c r="G279" s="14" t="s">
        <v>2612</v>
      </c>
      <c r="H279" s="14">
        <v>1761</v>
      </c>
      <c r="J279" t="str">
        <f>HYPERLINK("https://jicheng.tw/tcm/book/%e6%88%90%e6%96%b9%e5%88%87%e7%94%a8/index.html")</f>
        <v>https://jicheng.tw/tcm/book/%e6%88%90%e6%96%b9%e5%88%87%e7%94%a8/index.html</v>
      </c>
    </row>
    <row r="280" spans="1:10">
      <c r="A280" s="10" t="s">
        <v>1539</v>
      </c>
      <c r="B280" s="10" t="s">
        <v>1579</v>
      </c>
      <c r="C280" s="10"/>
      <c r="D280" t="s">
        <v>291</v>
      </c>
      <c r="E280" t="s">
        <v>291</v>
      </c>
      <c r="F280" t="s">
        <v>2652</v>
      </c>
      <c r="G280" s="14" t="s">
        <v>2612</v>
      </c>
      <c r="H280" s="14">
        <v>1803</v>
      </c>
      <c r="J280" t="str">
        <f>HYPERLINK("https://jicheng.tw/tcm/book/%e6%99%82%e6%96%b9%e5%a6%99%e7%94%a8/index.html")</f>
        <v>https://jicheng.tw/tcm/book/%e6%99%82%e6%96%b9%e5%a6%99%e7%94%a8/index.html</v>
      </c>
    </row>
    <row r="281" spans="1:10">
      <c r="A281" s="10" t="s">
        <v>1539</v>
      </c>
      <c r="B281" s="10" t="s">
        <v>1579</v>
      </c>
      <c r="C281" s="10"/>
      <c r="D281" t="s">
        <v>1580</v>
      </c>
      <c r="E281" t="s">
        <v>292</v>
      </c>
      <c r="F281" t="s">
        <v>2653</v>
      </c>
      <c r="G281" s="14" t="s">
        <v>2612</v>
      </c>
      <c r="H281" s="14">
        <v>1866</v>
      </c>
      <c r="J281" t="str">
        <f>HYPERLINK("https://jicheng.tw/tcm/book/%e5%8d%81%e5%8a%91%e8%a1%a8/index.html")</f>
        <v>https://jicheng.tw/tcm/book/%e5%8d%81%e5%8a%91%e8%a1%a8/index.html</v>
      </c>
    </row>
    <row r="282" spans="1:10">
      <c r="A282" s="10" t="s">
        <v>1539</v>
      </c>
      <c r="B282" s="10" t="s">
        <v>1579</v>
      </c>
      <c r="C282" s="10"/>
      <c r="D282" t="s">
        <v>1581</v>
      </c>
      <c r="E282" t="s">
        <v>293</v>
      </c>
      <c r="F282" t="s">
        <v>2654</v>
      </c>
      <c r="G282" s="14" t="s">
        <v>2612</v>
      </c>
      <c r="J282" t="str">
        <f>HYPERLINK("https://jicheng.tw/tcm/book/%e5%a4%aa%e9%86%ab%e9%99%a2%e7%a7%98%e8%97%8f%e8%86%8f%e4%b8%b9%e4%b8%b8%e6%95%a3%e6%96%b9%e5%8a%91/index.html")</f>
        <v>https://jicheng.tw/tcm/book/%e5%a4%aa%e9%86%ab%e9%99%a2%e7%a7%98%e8%97%8f%e8%86%8f%e4%b8%b9%e4%b8%b8%e6%95%a3%e6%96%b9%e5%8a%91/index.html</v>
      </c>
    </row>
    <row r="283" spans="1:10">
      <c r="A283" s="10" t="s">
        <v>1539</v>
      </c>
      <c r="B283" s="10" t="s">
        <v>1579</v>
      </c>
      <c r="C283" s="10"/>
      <c r="D283" t="s">
        <v>294</v>
      </c>
      <c r="E283" t="s">
        <v>294</v>
      </c>
      <c r="F283" t="s">
        <v>2655</v>
      </c>
      <c r="G283" s="14" t="s">
        <v>2612</v>
      </c>
      <c r="H283" s="14">
        <v>1804</v>
      </c>
      <c r="J283" t="str">
        <f>HYPERLINK("https://jicheng.tw/tcm/book/%e5%8f%a4%e6%96%b9%e5%bd%99%e7%b2%be/index.html")</f>
        <v>https://jicheng.tw/tcm/book/%e5%8f%a4%e6%96%b9%e5%bd%99%e7%b2%be/index.html</v>
      </c>
    </row>
    <row r="284" spans="1:10">
      <c r="A284" s="10" t="s">
        <v>1539</v>
      </c>
      <c r="B284" s="10" t="s">
        <v>1579</v>
      </c>
      <c r="C284" s="10"/>
      <c r="D284" t="s">
        <v>1582</v>
      </c>
      <c r="E284" s="2" t="s">
        <v>295</v>
      </c>
      <c r="F284" t="s">
        <v>2656</v>
      </c>
      <c r="G284" s="14" t="s">
        <v>2612</v>
      </c>
      <c r="H284" s="14">
        <v>1838</v>
      </c>
      <c r="I284" s="2"/>
      <c r="J284" s="2" t="str">
        <f>HYPERLINK("https://jicheng.tw/tcm/book/%e5%96%bb%e9%81%b8%e5%8f%a4%e6%96%b9%e8%a9%a6%e9%a9%97/index.html")</f>
        <v>https://jicheng.tw/tcm/book/%e5%96%bb%e9%81%b8%e5%8f%a4%e6%96%b9%e8%a9%a6%e9%a9%97/index.html</v>
      </c>
    </row>
    <row r="285" spans="1:10">
      <c r="A285" s="10" t="s">
        <v>1539</v>
      </c>
      <c r="B285" s="10" t="s">
        <v>1579</v>
      </c>
      <c r="C285" s="10"/>
      <c r="D285" t="s">
        <v>1583</v>
      </c>
      <c r="E285" t="s">
        <v>296</v>
      </c>
      <c r="F285" t="s">
        <v>2657</v>
      </c>
      <c r="G285" s="14" t="s">
        <v>2612</v>
      </c>
      <c r="J285" t="str">
        <f>HYPERLINK("https://jicheng.tw/tcm/book/%e9%86%ab%e8%ab%96%e6%8b%be%e9%81%ba/index.html")</f>
        <v>https://jicheng.tw/tcm/book/%e9%86%ab%e8%ab%96%e6%8b%be%e9%81%ba/index.html</v>
      </c>
    </row>
    <row r="286" spans="1:10">
      <c r="A286" s="10" t="s">
        <v>1539</v>
      </c>
      <c r="B286" s="10" t="s">
        <v>1579</v>
      </c>
      <c r="C286" s="10"/>
      <c r="D286" t="s">
        <v>1584</v>
      </c>
      <c r="E286" t="s">
        <v>297</v>
      </c>
      <c r="F286" t="s">
        <v>2658</v>
      </c>
      <c r="G286" s="14" t="s">
        <v>2612</v>
      </c>
      <c r="H286" s="14">
        <v>1881</v>
      </c>
      <c r="J286" t="str">
        <f>HYPERLINK("https://jicheng.tw/tcm/book/%e4%b8%8d%e7%9f%a5%e9%86%ab%e5%bf%85%e8%a6%81/index.html")</f>
        <v>https://jicheng.tw/tcm/book/%e4%b8%8d%e7%9f%a5%e9%86%ab%e5%bf%85%e8%a6%81/index.html</v>
      </c>
    </row>
    <row r="287" spans="1:10">
      <c r="A287" s="10" t="s">
        <v>1539</v>
      </c>
      <c r="B287" s="10" t="s">
        <v>1579</v>
      </c>
      <c r="C287" s="10"/>
      <c r="D287" t="s">
        <v>1585</v>
      </c>
      <c r="E287" t="s">
        <v>298</v>
      </c>
      <c r="F287" t="s">
        <v>2659</v>
      </c>
      <c r="G287" s="14" t="s">
        <v>2612</v>
      </c>
      <c r="J287" t="str">
        <f>HYPERLINK("https://jicheng.tw/tcm/book/%e9%86%ab%e9%80%9a%e7%a5%96%e6%96%b9/index.html")</f>
        <v>https://jicheng.tw/tcm/book/%e9%86%ab%e9%80%9a%e7%a5%96%e6%96%b9/index.html</v>
      </c>
    </row>
    <row r="288" spans="1:10">
      <c r="A288" s="10" t="s">
        <v>1539</v>
      </c>
      <c r="B288" s="10" t="s">
        <v>1579</v>
      </c>
      <c r="C288" s="10"/>
      <c r="D288" t="s">
        <v>1586</v>
      </c>
      <c r="E288" t="s">
        <v>299</v>
      </c>
      <c r="F288" t="s">
        <v>2660</v>
      </c>
      <c r="G288" s="14" t="s">
        <v>2661</v>
      </c>
      <c r="J288" t="str">
        <f>HYPERLINK("https://jicheng.tw/tcm/book/%e4%b8%81%e7%94%98%e4%bb%81%e5%85%88%e7%94%9f%e5%ae%b6%e5%82%b3%e7%8f%8d%e6%96%b9/index.html")</f>
        <v>https://jicheng.tw/tcm/book/%e4%b8%81%e7%94%98%e4%bb%81%e5%85%88%e7%94%9f%e5%ae%b6%e5%82%b3%e7%8f%8d%e6%96%b9/index.html</v>
      </c>
    </row>
    <row r="289" spans="1:10">
      <c r="A289" s="10" t="s">
        <v>1539</v>
      </c>
      <c r="B289" s="10" t="s">
        <v>1579</v>
      </c>
      <c r="C289" s="10"/>
      <c r="D289" t="s">
        <v>1587</v>
      </c>
      <c r="E289" t="s">
        <v>300</v>
      </c>
      <c r="F289" t="s">
        <v>2662</v>
      </c>
      <c r="G289" s="14" t="s">
        <v>2612</v>
      </c>
      <c r="J289" t="str">
        <f>HYPERLINK("https://jicheng.tw/tcm/book/%e9%86%ab%e6%96%b9%e7%b5%9c%e5%ba%a6/index.html")</f>
        <v>https://jicheng.tw/tcm/book/%e9%86%ab%e6%96%b9%e7%b5%9c%e5%ba%a6/index.html</v>
      </c>
    </row>
    <row r="290" spans="1:10">
      <c r="A290" s="10" t="s">
        <v>1539</v>
      </c>
      <c r="B290" s="10" t="s">
        <v>1579</v>
      </c>
      <c r="C290" s="10"/>
      <c r="D290" t="s">
        <v>1588</v>
      </c>
      <c r="E290" t="s">
        <v>301</v>
      </c>
      <c r="J290" t="str">
        <f>HYPERLINK("https://jicheng.tw/tcm/book/%e5%84%92%e9%86%ab%e5%bf%83%e9%8f%a1/index.html")</f>
        <v>https://jicheng.tw/tcm/book/%e5%84%92%e9%86%ab%e5%bf%83%e9%8f%a1/index.html</v>
      </c>
    </row>
    <row r="291" spans="1:10">
      <c r="A291" s="10" t="s">
        <v>1539</v>
      </c>
      <c r="B291" s="10" t="s">
        <v>1579</v>
      </c>
      <c r="C291" s="10"/>
      <c r="D291" t="s">
        <v>1589</v>
      </c>
      <c r="E291" t="s">
        <v>302</v>
      </c>
      <c r="F291" t="s">
        <v>2663</v>
      </c>
      <c r="G291" s="14" t="s">
        <v>2612</v>
      </c>
      <c r="J291" t="str">
        <f>HYPERLINK("https://jicheng.tw/tcm/book/%e4%b8%8d%e8%ac%9d%e6%96%b9%e4%b8%80%e5%8d%b7/index.html")</f>
        <v>https://jicheng.tw/tcm/book/%e4%b8%8d%e8%ac%9d%e6%96%b9%e4%b8%80%e5%8d%b7/index.html</v>
      </c>
    </row>
    <row r="292" spans="1:10">
      <c r="A292" s="10" t="s">
        <v>1539</v>
      </c>
      <c r="B292" s="10" t="s">
        <v>1579</v>
      </c>
      <c r="C292" s="10"/>
      <c r="D292" t="s">
        <v>1590</v>
      </c>
      <c r="E292" t="s">
        <v>303</v>
      </c>
      <c r="G292" s="14" t="s">
        <v>2612</v>
      </c>
      <c r="J292" t="str">
        <f>HYPERLINK("https://jicheng.tw/tcm/book/%e6%ad%b7%e9%a9%97%e5%86%8d%e5%a3%bd%e7%b7%a8/index.html")</f>
        <v>https://jicheng.tw/tcm/book/%e6%ad%b7%e9%a9%97%e5%86%8d%e5%a3%bd%e7%b7%a8/index.html</v>
      </c>
    </row>
    <row r="293" spans="1:10">
      <c r="A293" s="10" t="s">
        <v>1539</v>
      </c>
      <c r="B293" s="10" t="s">
        <v>1579</v>
      </c>
      <c r="C293" s="10"/>
      <c r="D293" t="s">
        <v>304</v>
      </c>
      <c r="E293" t="s">
        <v>304</v>
      </c>
      <c r="F293" t="s">
        <v>2664</v>
      </c>
      <c r="G293" s="14" t="s">
        <v>2612</v>
      </c>
      <c r="J293" t="str">
        <f>HYPERLINK("https://jicheng.tw/tcm/book/%e5%92%8c%e7%b7%a9%e9%81%ba%e9%a2%a8/index.html")</f>
        <v>https://jicheng.tw/tcm/book/%e5%92%8c%e7%b7%a9%e9%81%ba%e9%a2%a8/index.html</v>
      </c>
    </row>
    <row r="294" spans="1:10">
      <c r="A294" s="10" t="s">
        <v>1539</v>
      </c>
      <c r="B294" s="10" t="s">
        <v>1579</v>
      </c>
      <c r="C294" s="10"/>
      <c r="D294" t="s">
        <v>1591</v>
      </c>
      <c r="E294" t="s">
        <v>305</v>
      </c>
      <c r="F294" t="s">
        <v>2665</v>
      </c>
      <c r="G294" s="14" t="s">
        <v>2612</v>
      </c>
      <c r="H294" s="14">
        <v>1718</v>
      </c>
      <c r="J294" t="str">
        <f>HYPERLINK("https://jicheng.tw/tcm/book/%e9%9d%88%e8%97%a5%e7%a7%98%e6%96%b9/index.html")</f>
        <v>https://jicheng.tw/tcm/book/%e9%9d%88%e8%97%a5%e7%a7%98%e6%96%b9/index.html</v>
      </c>
    </row>
    <row r="295" spans="1:10">
      <c r="A295" s="10" t="s">
        <v>1539</v>
      </c>
      <c r="B295" s="10" t="s">
        <v>1579</v>
      </c>
      <c r="C295" s="10"/>
      <c r="D295" t="s">
        <v>306</v>
      </c>
      <c r="E295" t="s">
        <v>306</v>
      </c>
      <c r="F295" t="s">
        <v>2666</v>
      </c>
      <c r="G295" s="14" t="s">
        <v>2612</v>
      </c>
      <c r="J295" t="str">
        <f>HYPERLINK("https://jicheng.tw/tcm/book/%e8%a1%8c%e8%bb%8d%e6%96%b9%e4%be%bf%e4%be%bf%e6%96%b9/index.html")</f>
        <v>https://jicheng.tw/tcm/book/%e8%a1%8c%e8%bb%8d%e6%96%b9%e4%be%bf%e4%be%bf%e6%96%b9/index.html</v>
      </c>
    </row>
    <row r="296" spans="1:10">
      <c r="A296" s="10" t="s">
        <v>1539</v>
      </c>
      <c r="B296" s="10" t="s">
        <v>1579</v>
      </c>
      <c r="C296" s="10"/>
      <c r="D296" t="s">
        <v>307</v>
      </c>
      <c r="E296" t="s">
        <v>307</v>
      </c>
      <c r="F296" t="s">
        <v>2667</v>
      </c>
      <c r="G296" s="14" t="s">
        <v>2612</v>
      </c>
      <c r="J296" t="str">
        <f>HYPERLINK("https://jicheng.tw/tcm/book/%e9%87%8d%e8%a8%82%e7%97%a7%e7%96%ab%e6%8c%87%e8%bf%b7/index.html")</f>
        <v>https://jicheng.tw/tcm/book/%e9%87%8d%e8%a8%82%e7%97%a7%e7%96%ab%e6%8c%87%e8%bf%b7/index.html</v>
      </c>
    </row>
    <row r="297" spans="1:10">
      <c r="A297" s="10" t="s">
        <v>1539</v>
      </c>
      <c r="B297" s="10" t="s">
        <v>1579</v>
      </c>
      <c r="C297" s="10"/>
      <c r="D297" t="s">
        <v>308</v>
      </c>
      <c r="E297" t="s">
        <v>308</v>
      </c>
      <c r="F297" t="s">
        <v>2668</v>
      </c>
      <c r="G297" s="14" t="s">
        <v>2612</v>
      </c>
      <c r="J297" t="str">
        <f>HYPERLINK("https://jicheng.tw/tcm/book/%e9%87%91%e6%b0%8f%e9%96%80%e8%a8%ba%e6%96%b9%e6%a1%88/index.html")</f>
        <v>https://jicheng.tw/tcm/book/%e9%87%91%e6%b0%8f%e9%96%80%e8%a8%ba%e6%96%b9%e6%a1%88/index.html</v>
      </c>
    </row>
    <row r="298" spans="1:10">
      <c r="A298" s="10" t="s">
        <v>1539</v>
      </c>
      <c r="B298" s="10" t="s">
        <v>1579</v>
      </c>
      <c r="C298" s="10"/>
      <c r="D298" t="s">
        <v>309</v>
      </c>
      <c r="E298" t="s">
        <v>309</v>
      </c>
      <c r="F298" t="s">
        <v>2669</v>
      </c>
      <c r="G298" s="14" t="s">
        <v>2612</v>
      </c>
      <c r="H298" s="14">
        <v>1833</v>
      </c>
      <c r="J298" t="str">
        <f>HYPERLINK("https://jicheng.tw/tcm/book/%e6%95%91%e7%94%9f%e9%9b%86/index.html")</f>
        <v>https://jicheng.tw/tcm/book/%e6%95%91%e7%94%9f%e9%9b%86/index.html</v>
      </c>
    </row>
    <row r="299" spans="1:10">
      <c r="A299" s="10" t="s">
        <v>1539</v>
      </c>
      <c r="B299" s="10" t="s">
        <v>1579</v>
      </c>
      <c r="C299" s="10"/>
      <c r="D299" t="s">
        <v>1592</v>
      </c>
      <c r="E299" t="s">
        <v>310</v>
      </c>
      <c r="F299" t="s">
        <v>2670</v>
      </c>
      <c r="G299" s="14" t="s">
        <v>2612</v>
      </c>
      <c r="H299" s="14">
        <v>1657</v>
      </c>
      <c r="J299" t="str">
        <f>HYPERLINK("https://jicheng.tw/tcm/book/%e7%a7%98%e6%96%b9%e9%9b%86%e9%a9%97/index.html")</f>
        <v>https://jicheng.tw/tcm/book/%e7%a7%98%e6%96%b9%e9%9b%86%e9%a9%97/index.html</v>
      </c>
    </row>
    <row r="300" spans="1:10">
      <c r="A300" s="10" t="s">
        <v>1539</v>
      </c>
      <c r="B300" s="10" t="s">
        <v>1579</v>
      </c>
      <c r="C300" s="10"/>
      <c r="D300" t="s">
        <v>1593</v>
      </c>
      <c r="E300" t="s">
        <v>311</v>
      </c>
      <c r="F300" t="s">
        <v>2671</v>
      </c>
      <c r="G300" s="14" t="s">
        <v>2612</v>
      </c>
      <c r="H300" s="14">
        <v>1883</v>
      </c>
      <c r="J300" t="str">
        <f>HYPERLINK("https://jicheng.tw/tcm/book/%e9%86%ab%e6%96%b9%e7%b0%a1%e7%be%a9/index.html")</f>
        <v>https://jicheng.tw/tcm/book/%e9%86%ab%e6%96%b9%e7%b0%a1%e7%be%a9/index.html</v>
      </c>
    </row>
    <row r="301" spans="1:10">
      <c r="A301" s="10" t="s">
        <v>1539</v>
      </c>
      <c r="B301" s="10" t="s">
        <v>1579</v>
      </c>
      <c r="C301" s="10"/>
      <c r="D301" t="s">
        <v>1594</v>
      </c>
      <c r="E301" t="s">
        <v>312</v>
      </c>
      <c r="F301" s="1" t="s">
        <v>2677</v>
      </c>
      <c r="G301" s="14" t="s">
        <v>2612</v>
      </c>
      <c r="H301" s="14">
        <v>1742</v>
      </c>
      <c r="J301" s="4" t="str">
        <f>HYPERLINK("https://jicheng.tw/tcm/book/%E9%86%AB%E5%AE%97%E9%87%91%E9%91%91/%E5%88%AA%E8%A3%9C%E5%90%8D%E9%86%AB%E6%96%B9%E8%AB%96/index.html")</f>
        <v>https://jicheng.tw/tcm/book/%E9%86%AB%E5%AE%97%E9%87%91%E9%91%91/%E5%88%AA%E8%A3%9C%E5%90%8D%E9%86%AB%E6%96%B9%E8%AB%96/index.html</v>
      </c>
    </row>
    <row r="302" spans="1:10">
      <c r="A302" s="10" t="s">
        <v>1539</v>
      </c>
      <c r="B302" s="10" t="s">
        <v>1579</v>
      </c>
      <c r="C302" s="10"/>
      <c r="D302" t="s">
        <v>1595</v>
      </c>
      <c r="E302" t="s">
        <v>313</v>
      </c>
      <c r="F302" t="s">
        <v>2672</v>
      </c>
      <c r="G302" s="14" t="s">
        <v>2612</v>
      </c>
      <c r="H302" s="14">
        <v>1675</v>
      </c>
      <c r="J302" t="str">
        <f>HYPERLINK("https://jicheng.tw/tcm/book/%e5%8f%a4%e4%bb%8a%e5%90%8d%e9%86%ab%e6%96%b9%e8%ab%96/index.html")</f>
        <v>https://jicheng.tw/tcm/book/%e5%8f%a4%e4%bb%8a%e5%90%8d%e9%86%ab%e6%96%b9%e8%ab%96/index.html</v>
      </c>
    </row>
    <row r="303" spans="1:10">
      <c r="A303" s="10" t="s">
        <v>1539</v>
      </c>
      <c r="B303" s="10" t="s">
        <v>1579</v>
      </c>
      <c r="C303" s="10"/>
      <c r="D303" t="s">
        <v>1596</v>
      </c>
      <c r="E303" t="s">
        <v>314</v>
      </c>
      <c r="F303" t="s">
        <v>2673</v>
      </c>
      <c r="G303" s="14" t="s">
        <v>2612</v>
      </c>
      <c r="H303" s="14">
        <v>1682</v>
      </c>
      <c r="J303" t="str">
        <f>HYPERLINK("https://jicheng.tw/tcm/book/%e9%86%ab%e6%96%b9%e9%9b%86%e8%a7%a3/index.html")</f>
        <v>https://jicheng.tw/tcm/book/%e9%86%ab%e6%96%b9%e9%9b%86%e8%a7%a3/index.html</v>
      </c>
    </row>
    <row r="304" spans="1:10">
      <c r="A304" s="10" t="s">
        <v>1539</v>
      </c>
      <c r="B304" s="10" t="s">
        <v>1579</v>
      </c>
      <c r="C304" s="10"/>
      <c r="D304" t="s">
        <v>1597</v>
      </c>
      <c r="E304" t="s">
        <v>315</v>
      </c>
      <c r="F304" t="s">
        <v>2673</v>
      </c>
      <c r="G304" s="14" t="s">
        <v>2612</v>
      </c>
      <c r="H304" s="14">
        <v>1682</v>
      </c>
      <c r="J304" t="str">
        <f>HYPERLINK("https://jicheng.tw/tcm/book/%e9%86%ab%e6%96%b9%e9%9b%86%e8%a7%a3%5f%e6%a2%9d%e5%88%97%e7%89%88/index.html")</f>
        <v>https://jicheng.tw/tcm/book/%e9%86%ab%e6%96%b9%e9%9b%86%e8%a7%a3%5f%e6%a2%9d%e5%88%97%e7%89%88/index.html</v>
      </c>
    </row>
    <row r="305" spans="1:10">
      <c r="A305" s="10" t="s">
        <v>1539</v>
      </c>
      <c r="B305" s="10" t="s">
        <v>1579</v>
      </c>
      <c r="C305" s="10"/>
      <c r="D305" t="s">
        <v>316</v>
      </c>
      <c r="E305" t="s">
        <v>316</v>
      </c>
      <c r="F305" t="s">
        <v>2674</v>
      </c>
      <c r="G305" s="14" t="s">
        <v>2612</v>
      </c>
      <c r="H305" s="14">
        <v>1732</v>
      </c>
      <c r="J305" t="str">
        <f>HYPERLINK("https://jicheng.tw/tcm/book/%e7%b5%b3%e9%9b%aa%e5%9c%92%e5%8f%a4%e6%96%b9%e9%81%b8%e8%a8%bb/index.html")</f>
        <v>https://jicheng.tw/tcm/book/%e7%b5%b3%e9%9b%aa%e5%9c%92%e5%8f%a4%e6%96%b9%e9%81%b8%e8%a8%bb/index.html</v>
      </c>
    </row>
    <row r="306" spans="1:10">
      <c r="A306" s="10" t="s">
        <v>1539</v>
      </c>
      <c r="B306" s="10" t="s">
        <v>1579</v>
      </c>
      <c r="C306" s="10"/>
      <c r="D306" t="s">
        <v>1598</v>
      </c>
      <c r="E306" t="s">
        <v>317</v>
      </c>
      <c r="F306" t="s">
        <v>2675</v>
      </c>
      <c r="G306" s="14" t="s">
        <v>2612</v>
      </c>
      <c r="H306" s="14">
        <v>1865</v>
      </c>
      <c r="J306" t="str">
        <f>HYPERLINK("https://jicheng.tw/tcm/book/%e9%86%ab%e6%96%b9%e8%ab%96/index.html")</f>
        <v>https://jicheng.tw/tcm/book/%e9%86%ab%e6%96%b9%e8%ab%96/index.html</v>
      </c>
    </row>
    <row r="307" spans="1:10">
      <c r="A307" s="10" t="s">
        <v>1539</v>
      </c>
      <c r="B307" s="10" t="s">
        <v>1579</v>
      </c>
      <c r="C307" s="10"/>
      <c r="D307" t="s">
        <v>1599</v>
      </c>
      <c r="E307" t="s">
        <v>318</v>
      </c>
      <c r="F307" t="s">
        <v>2703</v>
      </c>
      <c r="G307" s="14" t="s">
        <v>2704</v>
      </c>
      <c r="H307" s="14">
        <v>1673</v>
      </c>
      <c r="J307" t="str">
        <f>HYPERLINK("https://jicheng.tw/tcm/book/%e5%a4%a7%e5%b0%8f%e8%ab%b8%e8%ad%89%e6%96%b9%e8%ab%96/index.html")</f>
        <v>https://jicheng.tw/tcm/book/%e5%a4%a7%e5%b0%8f%e8%ab%b8%e8%ad%89%e6%96%b9%e8%ab%96/index.html</v>
      </c>
    </row>
    <row r="308" spans="1:10">
      <c r="A308" s="10" t="s">
        <v>1539</v>
      </c>
      <c r="B308" s="10" t="s">
        <v>1579</v>
      </c>
      <c r="C308" s="10"/>
      <c r="D308" t="s">
        <v>1600</v>
      </c>
      <c r="E308" t="s">
        <v>319</v>
      </c>
      <c r="F308" t="s">
        <v>2705</v>
      </c>
      <c r="G308" s="14" t="s">
        <v>2704</v>
      </c>
      <c r="H308" s="14">
        <v>1884</v>
      </c>
      <c r="J308" t="str">
        <f>HYPERLINK("https://jicheng.tw/tcm/book/%e7%b6%93%e6%96%b9%e4%be%8b%e9%87%8b/index.html")</f>
        <v>https://jicheng.tw/tcm/book/%e7%b6%93%e6%96%b9%e4%be%8b%e9%87%8b/index.html</v>
      </c>
    </row>
    <row r="309" spans="1:10">
      <c r="A309" s="10" t="s">
        <v>1539</v>
      </c>
      <c r="B309" s="10" t="s">
        <v>1579</v>
      </c>
      <c r="C309" s="10"/>
      <c r="D309" t="s">
        <v>1601</v>
      </c>
      <c r="E309" t="s">
        <v>320</v>
      </c>
      <c r="F309" t="s">
        <v>2706</v>
      </c>
      <c r="G309" s="14" t="s">
        <v>2704</v>
      </c>
      <c r="J309" t="str">
        <f>HYPERLINK("https://jicheng.tw/tcm/book/%e9%a1%9e%e8%ad%89%e6%99%ae%e6%bf%9f%e6%9c%ac%e4%ba%8b%e6%96%b9%e9%87%8b%e7%be%a9/index.html")</f>
        <v>https://jicheng.tw/tcm/book/%e9%a1%9e%e8%ad%89%e6%99%ae%e6%bf%9f%e6%9c%ac%e4%ba%8b%e6%96%b9%e9%87%8b%e7%be%a9/index.html</v>
      </c>
    </row>
    <row r="310" spans="1:10">
      <c r="A310" s="10" t="s">
        <v>1539</v>
      </c>
      <c r="B310" s="10" t="s">
        <v>1579</v>
      </c>
      <c r="C310" s="10"/>
      <c r="D310" t="s">
        <v>321</v>
      </c>
      <c r="E310" t="s">
        <v>321</v>
      </c>
      <c r="F310" t="s">
        <v>2707</v>
      </c>
      <c r="G310" s="14" t="s">
        <v>2708</v>
      </c>
      <c r="H310" s="14">
        <v>1692</v>
      </c>
      <c r="J310" t="str">
        <f>HYPERLINK("https://jicheng.tw/tcm/book/%e6%b9%af%e9%a0%ad%e6%ad%8c%e8%a8%a3/index.html")</f>
        <v>https://jicheng.tw/tcm/book/%e6%b9%af%e9%a0%ad%e6%ad%8c%e8%a8%a3/index.html</v>
      </c>
    </row>
    <row r="311" spans="1:10">
      <c r="A311" s="10" t="s">
        <v>1539</v>
      </c>
      <c r="B311" s="10" t="s">
        <v>1579</v>
      </c>
      <c r="C311" s="10"/>
      <c r="D311" t="s">
        <v>322</v>
      </c>
      <c r="E311" t="s">
        <v>322</v>
      </c>
      <c r="F311" t="s">
        <v>2709</v>
      </c>
      <c r="G311" s="14" t="s">
        <v>2710</v>
      </c>
      <c r="H311" s="14">
        <v>1801</v>
      </c>
      <c r="J311" t="str">
        <f>HYPERLINK("https://jicheng.tw/tcm/book/%e6%99%82%e6%96%b9%e6%ad%8c%e6%8b%ac/index.html")</f>
        <v>https://jicheng.tw/tcm/book/%e6%99%82%e6%96%b9%e6%ad%8c%e6%8b%ac/index.html</v>
      </c>
    </row>
    <row r="312" spans="1:10">
      <c r="A312" s="10" t="s">
        <v>1539</v>
      </c>
      <c r="B312" s="10" t="s">
        <v>1579</v>
      </c>
      <c r="C312" s="10"/>
      <c r="D312" t="s">
        <v>323</v>
      </c>
      <c r="E312" t="s">
        <v>323</v>
      </c>
      <c r="F312" t="s">
        <v>2711</v>
      </c>
      <c r="G312" s="14" t="s">
        <v>2710</v>
      </c>
      <c r="H312" s="14" t="s">
        <v>2676</v>
      </c>
      <c r="J312" t="str">
        <f>HYPERLINK("https://jicheng.tw/tcm/book/%e9%95%b7%e6%b2%99%e6%96%b9%e6%ad%8c%e6%8b%ac/index.html")</f>
        <v>https://jicheng.tw/tcm/book/%e9%95%b7%e6%b2%99%e6%96%b9%e6%ad%8c%e6%8b%ac/index.html</v>
      </c>
    </row>
    <row r="313" spans="1:10">
      <c r="A313" s="10" t="s">
        <v>1539</v>
      </c>
      <c r="B313" s="10" t="s">
        <v>1579</v>
      </c>
      <c r="C313" s="10"/>
      <c r="D313" t="s">
        <v>324</v>
      </c>
      <c r="E313" t="s">
        <v>324</v>
      </c>
      <c r="F313" t="s">
        <v>2711</v>
      </c>
      <c r="G313" s="14" t="s">
        <v>2710</v>
      </c>
      <c r="H313" s="14">
        <v>1811</v>
      </c>
      <c r="J313" t="str">
        <f>HYPERLINK("https://jicheng.tw/tcm/book/%e9%87%91%e5%8c%b1%e6%96%b9%e6%ad%8c%e6%8b%ac/index.html")</f>
        <v>https://jicheng.tw/tcm/book/%e9%87%91%e5%8c%b1%e6%96%b9%e6%ad%8c%e6%8b%ac/index.html</v>
      </c>
    </row>
    <row r="314" spans="1:10">
      <c r="A314" s="10" t="s">
        <v>1539</v>
      </c>
      <c r="B314" s="10" t="s">
        <v>1579</v>
      </c>
      <c r="C314" s="10"/>
      <c r="D314" t="s">
        <v>1602</v>
      </c>
      <c r="E314" t="s">
        <v>325</v>
      </c>
      <c r="F314" t="s">
        <v>2712</v>
      </c>
      <c r="G314" s="14" t="s">
        <v>2710</v>
      </c>
      <c r="H314" s="14">
        <v>1897</v>
      </c>
      <c r="J314" t="str">
        <f>HYPERLINK("https://jicheng.tw/tcm/book/%e9%86%ab%e6%96%b9%e8%ad%89%e6%b2%bb%e5%bd%99%e7%b7%a8%e6%ad%8c%e8%a8%a3/index.html")</f>
        <v>https://jicheng.tw/tcm/book/%e9%86%ab%e6%96%b9%e8%ad%89%e6%b2%bb%e5%bd%99%e7%b7%a8%e6%ad%8c%e8%a8%a3/index.html</v>
      </c>
    </row>
    <row r="315" spans="1:10">
      <c r="A315" s="10" t="s">
        <v>1539</v>
      </c>
      <c r="B315" s="10" t="s">
        <v>1579</v>
      </c>
      <c r="C315" s="10"/>
      <c r="D315" t="s">
        <v>1603</v>
      </c>
      <c r="E315" t="s">
        <v>326</v>
      </c>
      <c r="F315" t="s">
        <v>2712</v>
      </c>
      <c r="G315" s="14" t="s">
        <v>2710</v>
      </c>
      <c r="H315" s="14">
        <v>1897</v>
      </c>
      <c r="J315" t="str">
        <f>HYPERLINK("https://jicheng.tw/tcm/book/%e9%86%ab%e6%96%b9%e6%ad%8c%e6%8b%ac/index.html")</f>
        <v>https://jicheng.tw/tcm/book/%e9%86%ab%e6%96%b9%e6%ad%8c%e6%8b%ac/index.html</v>
      </c>
    </row>
    <row r="316" spans="1:10">
      <c r="A316" s="10" t="s">
        <v>1539</v>
      </c>
      <c r="B316" s="10" t="s">
        <v>1579</v>
      </c>
      <c r="C316" s="10"/>
      <c r="D316" t="s">
        <v>1604</v>
      </c>
      <c r="E316" t="s">
        <v>327</v>
      </c>
      <c r="F316" t="s">
        <v>2712</v>
      </c>
      <c r="G316" s="14" t="s">
        <v>2710</v>
      </c>
      <c r="H316" s="14">
        <v>1897</v>
      </c>
      <c r="J316" t="str">
        <f>HYPERLINK("https://jicheng.tw/tcm/book/%e5%a2%9e%e8%a8%82%e9%86%ab%e6%96%b9%e6%ad%8c%e8%a8%a3/index.html")</f>
        <v>https://jicheng.tw/tcm/book/%e5%a2%9e%e8%a8%82%e9%86%ab%e6%96%b9%e6%ad%8c%e8%a8%a3/index.html</v>
      </c>
    </row>
    <row r="317" spans="1:10">
      <c r="A317" s="10" t="s">
        <v>1539</v>
      </c>
      <c r="B317" s="10" t="s">
        <v>1579</v>
      </c>
      <c r="C317" s="10"/>
      <c r="D317" t="s">
        <v>328</v>
      </c>
      <c r="E317" t="s">
        <v>328</v>
      </c>
      <c r="F317" t="s">
        <v>2712</v>
      </c>
      <c r="G317" s="14" t="s">
        <v>2710</v>
      </c>
      <c r="H317" s="14">
        <v>1897</v>
      </c>
      <c r="J317" t="str">
        <f>HYPERLINK("https://jicheng.tw/tcm/book/%e9%80%80%e6%80%9d%e9%9b%86%e9%a1%9e%e6%96%b9%e6%ad%8c%e8%a8%bb/index.html")</f>
        <v>https://jicheng.tw/tcm/book/%e9%80%80%e6%80%9d%e9%9b%86%e9%a1%9e%e6%96%b9%e6%ad%8c%e8%a8%bb/index.html</v>
      </c>
    </row>
    <row r="318" spans="1:10">
      <c r="A318" s="10" t="s">
        <v>1539</v>
      </c>
      <c r="B318" s="10" t="s">
        <v>1579</v>
      </c>
      <c r="C318" s="10"/>
      <c r="D318" t="s">
        <v>1605</v>
      </c>
      <c r="E318" t="s">
        <v>329</v>
      </c>
      <c r="F318" t="s">
        <v>2713</v>
      </c>
      <c r="G318" s="14" t="s">
        <v>2710</v>
      </c>
      <c r="J318" t="str">
        <f>HYPERLINK("https://jicheng.tw/tcm/book/%e8%a8%ba%e9%a9%97%e9%86%ab%e6%96%b9%e6%ad%8c%e6%8b%ac/index.html")</f>
        <v>https://jicheng.tw/tcm/book/%e8%a8%ba%e9%a9%97%e9%86%ab%e6%96%b9%e6%ad%8c%e6%8b%ac/index.html</v>
      </c>
    </row>
    <row r="319" spans="1:10">
      <c r="A319" s="10" t="s">
        <v>1539</v>
      </c>
      <c r="B319" s="10" t="s">
        <v>1579</v>
      </c>
      <c r="C319" s="10"/>
      <c r="D319" t="s">
        <v>1606</v>
      </c>
      <c r="E319" t="s">
        <v>330</v>
      </c>
      <c r="F319" t="s">
        <v>2714</v>
      </c>
      <c r="G319" s="14" t="s">
        <v>2710</v>
      </c>
      <c r="H319" s="14">
        <v>1904</v>
      </c>
      <c r="J319" t="str">
        <f>HYPERLINK("https://jicheng.tw/tcm/book/%e6%88%90%e6%96%b9%e4%be%bf%e8%ae%80/index.html")</f>
        <v>https://jicheng.tw/tcm/book/%e6%88%90%e6%96%b9%e4%be%bf%e8%ae%80/index.html</v>
      </c>
    </row>
    <row r="320" spans="1:10">
      <c r="A320" s="10" t="s">
        <v>1539</v>
      </c>
      <c r="B320" s="10" t="s">
        <v>2342</v>
      </c>
      <c r="C320" s="10"/>
      <c r="D320" t="s">
        <v>1607</v>
      </c>
      <c r="E320" t="s">
        <v>331</v>
      </c>
      <c r="F320" t="s">
        <v>2715</v>
      </c>
      <c r="G320" s="14" t="s">
        <v>2710</v>
      </c>
      <c r="J320" t="str">
        <f>HYPERLINK("https://jicheng.tw/tcm/book/%e8%97%a5%e6%b2%bb%e9%80%9a%e7%be%a9/index.html")</f>
        <v>https://jicheng.tw/tcm/book/%e8%97%a5%e6%b2%bb%e9%80%9a%e7%be%a9/index.html</v>
      </c>
    </row>
    <row r="321" spans="1:10">
      <c r="A321" s="10" t="s">
        <v>1539</v>
      </c>
      <c r="B321" s="10" t="s">
        <v>2342</v>
      </c>
      <c r="C321" s="10"/>
      <c r="D321" t="s">
        <v>1608</v>
      </c>
      <c r="E321" t="s">
        <v>332</v>
      </c>
      <c r="F321" t="s">
        <v>2716</v>
      </c>
      <c r="G321" s="14" t="s">
        <v>2710</v>
      </c>
      <c r="H321" s="14">
        <v>1811</v>
      </c>
      <c r="J321" t="str">
        <f>HYPERLINK("https://jicheng.tw/tcm/book/%e6%96%b9%e5%8a%91%e8%be%ad%e5%85%b8/index.html")</f>
        <v>https://jicheng.tw/tcm/book/%e6%96%b9%e5%8a%91%e8%be%ad%e5%85%b8/index.html</v>
      </c>
    </row>
    <row r="322" spans="1:10">
      <c r="A322" s="10" t="s">
        <v>1539</v>
      </c>
      <c r="B322" s="10" t="s">
        <v>2342</v>
      </c>
      <c r="C322" s="10"/>
      <c r="D322" t="s">
        <v>333</v>
      </c>
      <c r="E322" t="s">
        <v>333</v>
      </c>
      <c r="F322" t="s">
        <v>2717</v>
      </c>
      <c r="J322" t="str">
        <f>HYPERLINK("https://jicheng.tw/tcm/book/%e5%a5%87%e6%ad%a3%e6%96%b9/index.html")</f>
        <v>https://jicheng.tw/tcm/book/%e5%a5%87%e6%ad%a3%e6%96%b9/index.html</v>
      </c>
    </row>
    <row r="323" spans="1:10">
      <c r="A323" s="10" t="s">
        <v>1539</v>
      </c>
      <c r="B323" s="10" t="s">
        <v>2342</v>
      </c>
      <c r="C323" s="10"/>
      <c r="D323" t="s">
        <v>334</v>
      </c>
      <c r="E323" t="s">
        <v>334</v>
      </c>
      <c r="F323" t="s">
        <v>2718</v>
      </c>
      <c r="G323" s="14" t="s">
        <v>2710</v>
      </c>
      <c r="J323" t="str">
        <f>HYPERLINK("https://jicheng.tw/tcm/book/%e9%a1%9e%e8%81%9a%e6%96%b9/index.html")</f>
        <v>https://jicheng.tw/tcm/book/%e9%a1%9e%e8%81%9a%e6%96%b9/index.html</v>
      </c>
    </row>
    <row r="324" spans="1:10">
      <c r="A324" s="10" t="s">
        <v>1539</v>
      </c>
      <c r="B324" s="10" t="s">
        <v>2342</v>
      </c>
      <c r="C324" s="10"/>
      <c r="D324" t="s">
        <v>335</v>
      </c>
      <c r="E324" t="s">
        <v>335</v>
      </c>
      <c r="F324" t="s">
        <v>2719</v>
      </c>
      <c r="G324" s="14" t="s">
        <v>2710</v>
      </c>
      <c r="J324" t="str">
        <f>HYPERLINK("https://jicheng.tw/tcm/book/%e6%96%b9%e6%a9%9f/index.html")</f>
        <v>https://jicheng.tw/tcm/book/%e6%96%b9%e6%a9%9f/index.html</v>
      </c>
    </row>
    <row r="325" spans="1:10">
      <c r="A325" s="10" t="s">
        <v>1539</v>
      </c>
      <c r="B325" s="10" t="s">
        <v>2342</v>
      </c>
      <c r="C325" s="10"/>
      <c r="D325" t="s">
        <v>336</v>
      </c>
      <c r="E325" t="s">
        <v>336</v>
      </c>
      <c r="F325" t="s">
        <v>2720</v>
      </c>
      <c r="G325" s="14" t="s">
        <v>2710</v>
      </c>
      <c r="H325" s="14">
        <v>1810</v>
      </c>
      <c r="J325" t="str">
        <f>HYPERLINK("https://jicheng.tw/tcm/book/%e6%95%91%e6%80%a5%e9%81%b8%e6%96%b9/index.html")</f>
        <v>https://jicheng.tw/tcm/book/%e6%95%91%e6%80%a5%e9%81%b8%e6%96%b9/index.html</v>
      </c>
    </row>
    <row r="326" spans="1:10">
      <c r="A326" s="10" t="s">
        <v>1539</v>
      </c>
      <c r="B326" s="10" t="s">
        <v>2342</v>
      </c>
      <c r="C326" s="10"/>
      <c r="D326" t="s">
        <v>337</v>
      </c>
      <c r="E326" t="s">
        <v>337</v>
      </c>
      <c r="F326" t="s">
        <v>2721</v>
      </c>
      <c r="G326" s="14" t="s">
        <v>2710</v>
      </c>
      <c r="H326" s="14">
        <v>1781</v>
      </c>
      <c r="J326" t="str">
        <f>HYPERLINK("https://jicheng.tw/tcm/book/%e5%90%8d%e5%ae%b6%e6%96%b9%e9%81%b8/index.html")</f>
        <v>https://jicheng.tw/tcm/book/%e5%90%8d%e5%ae%b6%e6%96%b9%e9%81%b8/index.html</v>
      </c>
    </row>
    <row r="327" spans="1:10">
      <c r="A327" s="10" t="s">
        <v>1539</v>
      </c>
      <c r="B327" s="10" t="s">
        <v>2342</v>
      </c>
      <c r="C327" s="10"/>
      <c r="D327" t="s">
        <v>1609</v>
      </c>
      <c r="E327" t="s">
        <v>338</v>
      </c>
      <c r="F327" t="s">
        <v>2718</v>
      </c>
      <c r="G327" s="14" t="s">
        <v>2710</v>
      </c>
      <c r="J327" t="str">
        <f>HYPERLINK("https://jicheng.tw/tcm/book/%e5%ae%b6%e5%a1%be%e6%96%b9%e8%88%87%e6%96%b9%e6%a5%b5/index.html")</f>
        <v>https://jicheng.tw/tcm/book/%e5%ae%b6%e5%a1%be%e6%96%b9%e8%88%87%e6%96%b9%e6%a5%b5/index.html</v>
      </c>
    </row>
    <row r="328" spans="1:10">
      <c r="A328" s="10" t="s">
        <v>1539</v>
      </c>
      <c r="B328" s="10" t="s">
        <v>2342</v>
      </c>
      <c r="C328" s="10"/>
      <c r="D328" t="s">
        <v>1610</v>
      </c>
      <c r="E328" t="s">
        <v>339</v>
      </c>
      <c r="F328" t="s">
        <v>2720</v>
      </c>
      <c r="G328" s="14" t="s">
        <v>2710</v>
      </c>
      <c r="J328" t="str">
        <f>HYPERLINK("https://jicheng.tw/tcm/book/%e9%86%ab%e7%95%a5%e6%8a%84/index.html")</f>
        <v>https://jicheng.tw/tcm/book/%e9%86%ab%e7%95%a5%e6%8a%84/index.html</v>
      </c>
    </row>
    <row r="329" spans="1:10">
      <c r="A329" s="10" t="s">
        <v>1539</v>
      </c>
      <c r="B329" s="10" t="s">
        <v>2342</v>
      </c>
      <c r="C329" s="10"/>
      <c r="D329" t="s">
        <v>340</v>
      </c>
      <c r="E329" t="s">
        <v>340</v>
      </c>
      <c r="F329" t="s">
        <v>2722</v>
      </c>
      <c r="G329" s="14" t="s">
        <v>2710</v>
      </c>
      <c r="J329" t="str">
        <f>HYPERLINK("https://jicheng.tw/tcm/book/%e5%8f%a4%e6%96%b9%e5%88%86%e9%87%8f%e8%80%83/index.html")</f>
        <v>https://jicheng.tw/tcm/book/%e5%8f%a4%e6%96%b9%e5%88%86%e9%87%8f%e8%80%83/index.html</v>
      </c>
    </row>
    <row r="330" spans="1:10">
      <c r="A330" s="10" t="s">
        <v>1539</v>
      </c>
      <c r="B330" s="10" t="s">
        <v>1611</v>
      </c>
      <c r="C330" s="10"/>
      <c r="D330" t="s">
        <v>341</v>
      </c>
      <c r="E330" t="s">
        <v>341</v>
      </c>
      <c r="J330" t="str">
        <f>HYPERLINK("https://jicheng.tw/tcm/book/%e6%80%a5%e6%95%91%e4%be%bf%e6%96%b9/index.html")</f>
        <v>https://jicheng.tw/tcm/book/%e6%80%a5%e6%95%91%e4%be%bf%e6%96%b9/index.html</v>
      </c>
    </row>
    <row r="331" spans="1:10">
      <c r="A331" s="10" t="s">
        <v>1539</v>
      </c>
      <c r="B331" s="10" t="s">
        <v>1611</v>
      </c>
      <c r="C331" s="10"/>
      <c r="D331" t="s">
        <v>342</v>
      </c>
      <c r="E331" t="s">
        <v>342</v>
      </c>
      <c r="F331" t="s">
        <v>2723</v>
      </c>
      <c r="G331" s="14" t="s">
        <v>2710</v>
      </c>
      <c r="H331" s="14">
        <v>1719</v>
      </c>
      <c r="J331" t="str">
        <f>HYPERLINK("https://jicheng.tw/tcm/book/%e5%a5%87%e6%96%b9%e9%a1%9e%e7%b7%a8/index.html")</f>
        <v>https://jicheng.tw/tcm/book/%e5%a5%87%e6%96%b9%e9%a1%9e%e7%b7%a8/index.html</v>
      </c>
    </row>
    <row r="332" spans="1:10">
      <c r="A332" s="10" t="s">
        <v>1539</v>
      </c>
      <c r="B332" s="10" t="s">
        <v>1611</v>
      </c>
      <c r="C332" s="10"/>
      <c r="D332" t="s">
        <v>1612</v>
      </c>
      <c r="E332" t="s">
        <v>343</v>
      </c>
      <c r="F332" t="s">
        <v>2724</v>
      </c>
      <c r="G332" s="14" t="s">
        <v>2710</v>
      </c>
      <c r="H332" s="14">
        <v>1759</v>
      </c>
      <c r="J332" t="str">
        <f>HYPERLINK("https://jicheng.tw/tcm/book/%e4%b8%b2%e9%9b%85%e5%85%a7%e5%a4%96%e7%b7%a8/index.html")</f>
        <v>https://jicheng.tw/tcm/book/%e4%b8%b2%e9%9b%85%e5%85%a7%e5%a4%96%e7%b7%a8/index.html</v>
      </c>
    </row>
    <row r="333" spans="1:10">
      <c r="A333" s="10" t="s">
        <v>1539</v>
      </c>
      <c r="B333" s="10" t="s">
        <v>1611</v>
      </c>
      <c r="C333" s="10"/>
      <c r="D333" t="s">
        <v>344</v>
      </c>
      <c r="E333" t="s">
        <v>344</v>
      </c>
      <c r="F333" t="s">
        <v>2725</v>
      </c>
      <c r="G333" s="14" t="s">
        <v>2710</v>
      </c>
      <c r="J333" t="str">
        <f>HYPERLINK("https://jicheng.tw/tcm/book/%e4%b8%b2%e9%9b%85%e8%a3%9c/index.html")</f>
        <v>https://jicheng.tw/tcm/book/%e4%b8%b2%e9%9b%85%e8%a3%9c/index.html</v>
      </c>
    </row>
    <row r="334" spans="1:10">
      <c r="A334" s="10" t="s">
        <v>1539</v>
      </c>
      <c r="B334" s="10" t="s">
        <v>1611</v>
      </c>
      <c r="C334" s="10"/>
      <c r="D334" t="s">
        <v>345</v>
      </c>
      <c r="E334" t="s">
        <v>345</v>
      </c>
      <c r="F334" t="s">
        <v>2724</v>
      </c>
      <c r="G334" s="14" t="s">
        <v>2710</v>
      </c>
      <c r="J334" t="str">
        <f>HYPERLINK("https://jicheng.tw/tcm/book/%e4%b8%b2%e9%9b%85%e5%a4%96%e7%b7%a8/index.html")</f>
        <v>https://jicheng.tw/tcm/book/%e4%b8%b2%e9%9b%85%e5%a4%96%e7%b7%a8/index.html</v>
      </c>
    </row>
    <row r="335" spans="1:10">
      <c r="A335" s="10" t="s">
        <v>1539</v>
      </c>
      <c r="B335" s="10" t="s">
        <v>1611</v>
      </c>
      <c r="C335" s="10"/>
      <c r="D335" t="s">
        <v>1613</v>
      </c>
      <c r="E335" t="s">
        <v>346</v>
      </c>
      <c r="F335" t="s">
        <v>2726</v>
      </c>
      <c r="G335" s="14" t="s">
        <v>2710</v>
      </c>
      <c r="H335" s="14">
        <v>1846</v>
      </c>
      <c r="J335" t="str">
        <f>HYPERLINK("https://jicheng.tw/tcm/book/%e9%a9%97%e6%96%b9%e6%96%b0%e7%b7%a8/index.html")</f>
        <v>https://jicheng.tw/tcm/book/%e9%a9%97%e6%96%b9%e6%96%b0%e7%b7%a8/index.html</v>
      </c>
    </row>
    <row r="336" spans="1:10">
      <c r="A336" s="10" t="s">
        <v>1539</v>
      </c>
      <c r="B336" s="10" t="s">
        <v>1611</v>
      </c>
      <c r="C336" s="10"/>
      <c r="D336" t="s">
        <v>1614</v>
      </c>
      <c r="E336" t="s">
        <v>347</v>
      </c>
      <c r="G336" s="14" t="s">
        <v>2710</v>
      </c>
      <c r="H336" s="14" t="s">
        <v>2679</v>
      </c>
      <c r="J336" t="str">
        <f>HYPERLINK("https://jicheng.tw/tcm/book/%e6%bf%9f%e4%b8%96%e7%a5%9e%e9%a9%97%e8%89%af%e6%96%b9/index.html")</f>
        <v>https://jicheng.tw/tcm/book/%e6%bf%9f%e4%b8%96%e7%a5%9e%e9%a9%97%e8%89%af%e6%96%b9/index.html</v>
      </c>
    </row>
    <row r="337" spans="1:10">
      <c r="A337" s="10" t="s">
        <v>1539</v>
      </c>
      <c r="B337" s="10" t="s">
        <v>1611</v>
      </c>
      <c r="C337" s="10"/>
      <c r="D337" t="s">
        <v>1615</v>
      </c>
      <c r="E337" t="s">
        <v>348</v>
      </c>
      <c r="F337" t="s">
        <v>2727</v>
      </c>
      <c r="G337" s="14" t="s">
        <v>2710</v>
      </c>
      <c r="H337" s="14">
        <v>1797</v>
      </c>
      <c r="J337" t="str">
        <f>HYPERLINK("https://jicheng.tw/tcm/book/%e7%a5%9e%e4%bb%99%e6%bf%9f%e4%b8%96%e8%89%af%e6%96%b9/index.html")</f>
        <v>https://jicheng.tw/tcm/book/%e7%a5%9e%e4%bb%99%e6%bf%9f%e4%b8%96%e8%89%af%e6%96%b9/index.html</v>
      </c>
    </row>
    <row r="338" spans="1:10">
      <c r="A338" s="10" t="s">
        <v>1539</v>
      </c>
      <c r="B338" s="10" t="s">
        <v>1611</v>
      </c>
      <c r="C338" s="10"/>
      <c r="D338" t="s">
        <v>1616</v>
      </c>
      <c r="E338" t="s">
        <v>349</v>
      </c>
      <c r="F338" t="s">
        <v>2728</v>
      </c>
      <c r="G338" s="14" t="s">
        <v>2729</v>
      </c>
      <c r="H338" s="14">
        <v>1086</v>
      </c>
      <c r="J338" t="str">
        <f>HYPERLINK("https://jicheng.tw/tcm/book/%e6%97%85%e8%88%8d%e5%82%99%e8%a6%81%e6%96%b9/index.html")</f>
        <v>https://jicheng.tw/tcm/book/%e6%97%85%e8%88%8d%e5%82%99%e8%a6%81%e6%96%b9/index.html</v>
      </c>
    </row>
    <row r="339" spans="1:10">
      <c r="A339" s="10" t="s">
        <v>1539</v>
      </c>
      <c r="B339" s="10" t="s">
        <v>1611</v>
      </c>
      <c r="C339" s="10"/>
      <c r="D339" t="s">
        <v>1617</v>
      </c>
      <c r="E339" t="s">
        <v>350</v>
      </c>
      <c r="F339" t="s">
        <v>2730</v>
      </c>
      <c r="G339" s="14" t="s">
        <v>2710</v>
      </c>
      <c r="H339" s="14">
        <v>1708</v>
      </c>
      <c r="J339" t="str">
        <f>HYPERLINK("https://jicheng.tw/tcm/book/%e7%b6%93%e9%a9%97%e4%b8%b9%e6%96%b9%e5%bd%99%e7%b7%a8/index.html")</f>
        <v>https://jicheng.tw/tcm/book/%e7%b6%93%e9%a9%97%e4%b8%b9%e6%96%b9%e5%bd%99%e7%b7%a8/index.html</v>
      </c>
    </row>
    <row r="340" spans="1:10">
      <c r="A340" s="10" t="s">
        <v>1539</v>
      </c>
      <c r="B340" s="10" t="s">
        <v>1611</v>
      </c>
      <c r="C340" s="10"/>
      <c r="D340" t="s">
        <v>1618</v>
      </c>
      <c r="E340" t="s">
        <v>351</v>
      </c>
      <c r="F340" t="s">
        <v>2731</v>
      </c>
      <c r="G340" s="14" t="s">
        <v>2729</v>
      </c>
      <c r="H340" s="14">
        <v>1170</v>
      </c>
      <c r="J340" t="str">
        <f>HYPERLINK("https://jicheng.tw/tcm/book/%e9%9b%86%e9%a9%97%e6%96%b9/index.html")</f>
        <v>https://jicheng.tw/tcm/book/%e9%9b%86%e9%a9%97%e6%96%b9/index.html</v>
      </c>
    </row>
    <row r="341" spans="1:10">
      <c r="A341" s="10" t="s">
        <v>1539</v>
      </c>
      <c r="B341" s="10" t="s">
        <v>1611</v>
      </c>
      <c r="C341" s="10"/>
      <c r="D341" t="s">
        <v>1619</v>
      </c>
      <c r="E341" t="s">
        <v>352</v>
      </c>
      <c r="F341" t="s">
        <v>2732</v>
      </c>
      <c r="G341" s="14" t="s">
        <v>2710</v>
      </c>
      <c r="H341" s="14">
        <v>1880</v>
      </c>
      <c r="J341" t="str">
        <f>HYPERLINK("https://jicheng.tw/tcm/book/%e5%a5%87%e6%95%88%e7%b0%a1%e4%be%bf%e8%89%af%e6%96%b9/index.html")</f>
        <v>https://jicheng.tw/tcm/book/%e5%a5%87%e6%95%88%e7%b0%a1%e4%be%bf%e8%89%af%e6%96%b9/index.html</v>
      </c>
    </row>
    <row r="342" spans="1:10">
      <c r="A342" s="10" t="s">
        <v>1539</v>
      </c>
      <c r="B342" s="10" t="s">
        <v>1611</v>
      </c>
      <c r="C342" s="10"/>
      <c r="D342" t="s">
        <v>1620</v>
      </c>
      <c r="E342" t="s">
        <v>353</v>
      </c>
      <c r="F342" t="s">
        <v>2733</v>
      </c>
      <c r="G342" s="14" t="s">
        <v>2710</v>
      </c>
      <c r="H342" s="14">
        <v>1759</v>
      </c>
      <c r="J342" t="str">
        <f>HYPERLINK("https://jicheng.tw/tcm/book/%e6%83%a0%e7%9b%b4%e5%a0%82%e7%b6%93%e9%a9%97%e6%96%b9/index.html")</f>
        <v>https://jicheng.tw/tcm/book/%e6%83%a0%e7%9b%b4%e5%a0%82%e7%b6%93%e9%a9%97%e6%96%b9/index.html</v>
      </c>
    </row>
    <row r="343" spans="1:10">
      <c r="A343" s="10" t="s">
        <v>1539</v>
      </c>
      <c r="B343" s="10" t="s">
        <v>1611</v>
      </c>
      <c r="C343" s="10"/>
      <c r="D343" t="s">
        <v>354</v>
      </c>
      <c r="E343" t="s">
        <v>354</v>
      </c>
      <c r="F343" t="s">
        <v>2734</v>
      </c>
      <c r="G343" s="14" t="s">
        <v>2710</v>
      </c>
      <c r="H343" s="14">
        <v>1744</v>
      </c>
      <c r="J343" t="str">
        <f>HYPERLINK("https://jicheng.tw/tcm/book/%e7%b5%b3%e5%9b%8a%e6%92%ae%e8%a6%81/index.html")</f>
        <v>https://jicheng.tw/tcm/book/%e7%b5%b3%e5%9b%8a%e6%92%ae%e8%a6%81/index.html</v>
      </c>
    </row>
    <row r="344" spans="1:10">
      <c r="A344" s="10" t="s">
        <v>1539</v>
      </c>
      <c r="B344" s="10" t="s">
        <v>1611</v>
      </c>
      <c r="C344" s="10"/>
      <c r="D344" t="s">
        <v>1621</v>
      </c>
      <c r="E344" t="s">
        <v>355</v>
      </c>
      <c r="F344" t="s">
        <v>2735</v>
      </c>
      <c r="G344" s="14" t="s">
        <v>2710</v>
      </c>
      <c r="H344" s="14">
        <v>1989</v>
      </c>
      <c r="J344" t="str">
        <f>HYPERLINK("https://jicheng.tw/tcm/book/%e7%b6%93%e9%a9%97%e5%a5%87%e6%96%b9/index.html")</f>
        <v>https://jicheng.tw/tcm/book/%e7%b6%93%e9%a9%97%e5%a5%87%e6%96%b9/index.html</v>
      </c>
    </row>
    <row r="345" spans="1:10">
      <c r="A345" s="10" t="s">
        <v>1539</v>
      </c>
      <c r="B345" s="10" t="s">
        <v>1611</v>
      </c>
      <c r="C345" s="10"/>
      <c r="D345" t="s">
        <v>1622</v>
      </c>
      <c r="E345" t="s">
        <v>356</v>
      </c>
      <c r="F345" t="s">
        <v>2736</v>
      </c>
      <c r="G345" s="14" t="s">
        <v>2710</v>
      </c>
      <c r="H345" s="14">
        <v>1877</v>
      </c>
      <c r="J345" t="str">
        <f>HYPERLINK("https://jicheng.tw/tcm/book/%e5%a4%96%e6%b2%bb%e5%a3%bd%e4%b8%96%e6%96%b9/index.html")</f>
        <v>https://jicheng.tw/tcm/book/%e5%a4%96%e6%b2%bb%e5%a3%bd%e4%b8%96%e6%96%b9/index.html</v>
      </c>
    </row>
    <row r="346" spans="1:10">
      <c r="A346" s="10" t="s">
        <v>1539</v>
      </c>
      <c r="B346" s="10" t="s">
        <v>1611</v>
      </c>
      <c r="C346" s="10"/>
      <c r="D346" t="s">
        <v>1623</v>
      </c>
      <c r="E346" t="s">
        <v>357</v>
      </c>
      <c r="F346" t="s">
        <v>2737</v>
      </c>
      <c r="G346" s="14" t="s">
        <v>2710</v>
      </c>
      <c r="H346" s="14">
        <v>1775</v>
      </c>
      <c r="J346" t="str">
        <f>HYPERLINK("https://jicheng.tw/tcm/book/%e6%96%87%e5%a0%82%e9%9b%86%e9%a9%97%e6%96%b9/index.html")</f>
        <v>https://jicheng.tw/tcm/book/%e6%96%87%e5%a0%82%e9%9b%86%e9%a9%97%e6%96%b9/index.html</v>
      </c>
    </row>
    <row r="347" spans="1:10">
      <c r="A347" s="10" t="s">
        <v>1539</v>
      </c>
      <c r="B347" s="10" t="s">
        <v>1611</v>
      </c>
      <c r="C347" s="10"/>
      <c r="D347" t="s">
        <v>358</v>
      </c>
      <c r="E347" t="s">
        <v>358</v>
      </c>
      <c r="F347" t="s">
        <v>2738</v>
      </c>
      <c r="G347" s="14" t="s">
        <v>2710</v>
      </c>
      <c r="H347" s="14">
        <v>1789</v>
      </c>
      <c r="J347" t="str">
        <f>HYPERLINK("https://jicheng.tw/tcm/book/%e5%9b%9e%e7%94%9f%e9%9b%86/index.html")</f>
        <v>https://jicheng.tw/tcm/book/%e5%9b%9e%e7%94%9f%e9%9b%86/index.html</v>
      </c>
    </row>
    <row r="348" spans="1:10">
      <c r="A348" s="10" t="s">
        <v>1539</v>
      </c>
      <c r="B348" s="10" t="s">
        <v>1611</v>
      </c>
      <c r="C348" s="10"/>
      <c r="D348" t="s">
        <v>359</v>
      </c>
      <c r="E348" t="s">
        <v>359</v>
      </c>
      <c r="F348" t="s">
        <v>2739</v>
      </c>
      <c r="G348" s="14" t="s">
        <v>2740</v>
      </c>
      <c r="H348" s="14">
        <v>1938</v>
      </c>
      <c r="J348" t="str">
        <f>HYPERLINK("https://jicheng.tw/tcm/book/%e6%9c%ac%e8%8d%89%e7%b0%a1%e8%a6%81%e6%96%b9/index.html")</f>
        <v>https://jicheng.tw/tcm/book/%e6%9c%ac%e8%8d%89%e7%b0%a1%e8%a6%81%e6%96%b9/index.html</v>
      </c>
    </row>
    <row r="349" spans="1:10">
      <c r="A349" s="10" t="s">
        <v>1539</v>
      </c>
      <c r="B349" s="10" t="s">
        <v>1611</v>
      </c>
      <c r="C349" s="10"/>
      <c r="D349" t="s">
        <v>360</v>
      </c>
      <c r="E349" t="s">
        <v>360</v>
      </c>
      <c r="F349" t="s">
        <v>2741</v>
      </c>
      <c r="G349" s="14" t="s">
        <v>2710</v>
      </c>
      <c r="H349" s="14">
        <v>1895</v>
      </c>
      <c r="J349" t="str">
        <f>HYPERLINK("https://jicheng.tw/tcm/book/%e7%96%91%e9%9b%a3%e6%80%a5%e7%97%87%e7%b0%a1%e6%96%b9/index.html")</f>
        <v>https://jicheng.tw/tcm/book/%e7%96%91%e9%9b%a3%e6%80%a5%e7%97%87%e7%b0%a1%e6%96%b9/index.html</v>
      </c>
    </row>
    <row r="350" spans="1:10">
      <c r="A350" s="10" t="s">
        <v>1539</v>
      </c>
      <c r="B350" s="10" t="s">
        <v>1611</v>
      </c>
      <c r="C350" s="10"/>
      <c r="D350" t="s">
        <v>1624</v>
      </c>
      <c r="E350" t="s">
        <v>361</v>
      </c>
      <c r="F350" t="s">
        <v>2742</v>
      </c>
      <c r="G350" s="14" t="s">
        <v>2743</v>
      </c>
      <c r="H350" s="14">
        <v>1528</v>
      </c>
      <c r="J350" t="str">
        <f>HYPERLINK("https://jicheng.tw/tcm/book/%e5%a4%96%e7%a7%91%e7%b6%93%e9%a9%97%e6%96%b9/index.html")</f>
        <v>https://jicheng.tw/tcm/book/%e5%a4%96%e7%a7%91%e7%b6%93%e9%a9%97%e6%96%b9/index.html</v>
      </c>
    </row>
    <row r="351" spans="1:10">
      <c r="A351" s="10" t="s">
        <v>1539</v>
      </c>
      <c r="B351" s="10" t="s">
        <v>1611</v>
      </c>
      <c r="C351" s="10"/>
      <c r="D351" t="s">
        <v>1625</v>
      </c>
      <c r="E351" t="s">
        <v>362</v>
      </c>
      <c r="F351" t="s">
        <v>2744</v>
      </c>
      <c r="G351" s="14" t="s">
        <v>2710</v>
      </c>
      <c r="H351" s="14">
        <v>1852</v>
      </c>
      <c r="J351" t="str">
        <f>HYPERLINK("https://jicheng.tw/tcm/book/%e9%9b%9e%e9%b3%b4%e9%8c%84/index.html")</f>
        <v>https://jicheng.tw/tcm/book/%e9%9b%9e%e9%b3%b4%e9%8c%84/index.html</v>
      </c>
    </row>
    <row r="352" spans="1:10">
      <c r="A352" s="10" t="s">
        <v>1539</v>
      </c>
      <c r="B352" s="10" t="s">
        <v>1611</v>
      </c>
      <c r="C352" s="10"/>
      <c r="D352" t="s">
        <v>1626</v>
      </c>
      <c r="E352" t="s">
        <v>363</v>
      </c>
      <c r="F352" t="s">
        <v>2745</v>
      </c>
      <c r="G352" s="14" t="s">
        <v>2710</v>
      </c>
      <c r="H352" s="14">
        <v>1846</v>
      </c>
      <c r="J352" t="str">
        <f>HYPERLINK("https://jicheng.tw/tcm/book/%e6%98%a5%e8%85%b3%e9%9b%86/index.html")</f>
        <v>https://jicheng.tw/tcm/book/%e6%98%a5%e8%85%b3%e9%9b%86/index.html</v>
      </c>
    </row>
    <row r="353" spans="1:10">
      <c r="A353" s="10" t="s">
        <v>1539</v>
      </c>
      <c r="B353" s="10" t="s">
        <v>1611</v>
      </c>
      <c r="C353" s="10"/>
      <c r="D353" t="s">
        <v>1627</v>
      </c>
      <c r="E353" t="s">
        <v>364</v>
      </c>
      <c r="F353" t="s">
        <v>2746</v>
      </c>
      <c r="G353" s="14" t="s">
        <v>2743</v>
      </c>
      <c r="J353" t="str">
        <f>HYPERLINK("https://jicheng.tw/tcm/book/%e6%bf%9f%e4%b8%96%e7%8f%8d%e5%af%b6/index.html")</f>
        <v>https://jicheng.tw/tcm/book/%e6%bf%9f%e4%b8%96%e7%8f%8d%e5%af%b6/index.html</v>
      </c>
    </row>
    <row r="354" spans="1:10">
      <c r="A354" s="10" t="s">
        <v>1539</v>
      </c>
      <c r="B354" s="10" t="s">
        <v>1611</v>
      </c>
      <c r="C354" s="10"/>
      <c r="D354" t="s">
        <v>1628</v>
      </c>
      <c r="E354" s="1" t="s">
        <v>365</v>
      </c>
      <c r="F354" t="s">
        <v>2747</v>
      </c>
      <c r="G354" s="14" t="s">
        <v>2710</v>
      </c>
      <c r="H354" s="14">
        <v>1744</v>
      </c>
      <c r="J354" s="1" t="str">
        <f>HYPERLINK("https://jicheng.tw/tcm/book/%e5%90%b3%e6%b0%8f%e9%86%ab%e6%96%b9%e5%bd%99%e7%b7%a8/index.html")</f>
        <v>https://jicheng.tw/tcm/book/%e5%90%b3%e6%b0%8f%e9%86%ab%e6%96%b9%e5%bd%99%e7%b7%a8/index.html</v>
      </c>
    </row>
    <row r="355" spans="1:10">
      <c r="A355" s="10" t="s">
        <v>1539</v>
      </c>
      <c r="B355" s="10" t="s">
        <v>1611</v>
      </c>
      <c r="C355" s="10"/>
      <c r="D355" t="s">
        <v>1629</v>
      </c>
      <c r="E355" t="s">
        <v>366</v>
      </c>
      <c r="F355" t="s">
        <v>2748</v>
      </c>
      <c r="G355" s="14" t="s">
        <v>2710</v>
      </c>
      <c r="J355" t="str">
        <f>HYPERLINK("https://jicheng.tw/tcm/book/%e8%87%a8%e8%ad%89%e4%b8%80%e5%be%97%e6%96%b9/index.html")</f>
        <v>https://jicheng.tw/tcm/book/%e8%87%a8%e8%ad%89%e4%b8%80%e5%be%97%e6%96%b9/index.html</v>
      </c>
    </row>
    <row r="356" spans="1:10">
      <c r="A356" s="10" t="s">
        <v>1539</v>
      </c>
      <c r="B356" s="10" t="s">
        <v>1611</v>
      </c>
      <c r="C356" s="10"/>
      <c r="D356" t="s">
        <v>1630</v>
      </c>
      <c r="E356" t="s">
        <v>367</v>
      </c>
      <c r="F356" t="s">
        <v>2749</v>
      </c>
      <c r="G356" s="14" t="s">
        <v>2729</v>
      </c>
      <c r="H356" s="14">
        <v>1216</v>
      </c>
      <c r="J356" t="str">
        <f>HYPERLINK("https://jicheng.tw/tcm/book/%e6%ba%ab%e9%9a%b1%e5%b1%85%e6%b5%b7%e4%b8%8a%e4%bb%99%e6%96%b9/index.html")</f>
        <v>https://jicheng.tw/tcm/book/%e6%ba%ab%e9%9a%b1%e5%b1%85%e6%b5%b7%e4%b8%8a%e4%bb%99%e6%96%b9/index.html</v>
      </c>
    </row>
    <row r="357" spans="1:10">
      <c r="A357" s="10" t="s">
        <v>1539</v>
      </c>
      <c r="B357" s="10" t="s">
        <v>1611</v>
      </c>
      <c r="C357" s="10"/>
      <c r="D357" t="s">
        <v>1631</v>
      </c>
      <c r="E357" t="s">
        <v>368</v>
      </c>
      <c r="F357" t="s">
        <v>2750</v>
      </c>
      <c r="G357" s="14" t="s">
        <v>2729</v>
      </c>
      <c r="H357" s="14">
        <v>1186</v>
      </c>
      <c r="J357" t="str">
        <f>HYPERLINK("https://jicheng.tw/tcm/book/%e8%91%89%e6%b0%8f%e9%8c%84%e9%a9%97%e6%96%b9/index.html")</f>
        <v>https://jicheng.tw/tcm/book/%e8%91%89%e6%b0%8f%e9%8c%84%e9%a9%97%e6%96%b9/index.html</v>
      </c>
    </row>
    <row r="358" spans="1:10">
      <c r="A358" s="10" t="s">
        <v>1539</v>
      </c>
      <c r="B358" s="10" t="s">
        <v>1611</v>
      </c>
      <c r="C358" s="10"/>
      <c r="D358" t="s">
        <v>1632</v>
      </c>
      <c r="E358" t="s">
        <v>369</v>
      </c>
      <c r="F358" t="s">
        <v>2751</v>
      </c>
      <c r="G358" s="14" t="s">
        <v>2710</v>
      </c>
      <c r="H358" s="14">
        <v>1862</v>
      </c>
      <c r="J358" t="str">
        <f>HYPERLINK("https://jicheng.tw/tcm/book/%e7%b6%93%e9%a9%97%e8%89%af%e6%96%b9%e5%85%a8%e9%9b%86/index.html")</f>
        <v>https://jicheng.tw/tcm/book/%e7%b6%93%e9%a9%97%e8%89%af%e6%96%b9%e5%85%a8%e9%9b%86/index.html</v>
      </c>
    </row>
    <row r="359" spans="1:10">
      <c r="A359" s="10" t="s">
        <v>1539</v>
      </c>
      <c r="B359" s="10" t="s">
        <v>1611</v>
      </c>
      <c r="C359" s="10"/>
      <c r="D359" t="s">
        <v>1633</v>
      </c>
      <c r="E359" t="s">
        <v>370</v>
      </c>
      <c r="F359" t="s">
        <v>2752</v>
      </c>
      <c r="G359" s="14" t="s">
        <v>2710</v>
      </c>
      <c r="H359" s="14">
        <v>1853</v>
      </c>
      <c r="J359" t="str">
        <f>HYPERLINK("https://jicheng.tw/tcm/book/%e9%86%ab%e6%96%b9%e6%8b%be%e9%8c%a6/index.html")</f>
        <v>https://jicheng.tw/tcm/book/%e9%86%ab%e6%96%b9%e6%8b%be%e9%8c%a6/index.html</v>
      </c>
    </row>
    <row r="360" spans="1:10">
      <c r="A360" s="10" t="s">
        <v>1539</v>
      </c>
      <c r="B360" s="10" t="s">
        <v>1611</v>
      </c>
      <c r="C360" s="10"/>
      <c r="D360" t="s">
        <v>1634</v>
      </c>
      <c r="E360" t="s">
        <v>371</v>
      </c>
      <c r="F360" t="s">
        <v>2753</v>
      </c>
      <c r="G360" s="14" t="s">
        <v>2710</v>
      </c>
      <c r="J360" t="str">
        <f>HYPERLINK("https://jicheng.tw/tcm/book/%e7%9b%8a%e4%b8%96%e7%b6%93%e9%a9%97%e8%89%af%e6%96%b9/index.html")</f>
        <v>https://jicheng.tw/tcm/book/%e7%9b%8a%e4%b8%96%e7%b6%93%e9%a9%97%e8%89%af%e6%96%b9/index.html</v>
      </c>
    </row>
    <row r="361" spans="1:10">
      <c r="A361" s="10" t="s">
        <v>1539</v>
      </c>
      <c r="B361" s="10" t="s">
        <v>1611</v>
      </c>
      <c r="C361" s="10"/>
      <c r="D361" t="s">
        <v>1635</v>
      </c>
      <c r="E361" t="s">
        <v>372</v>
      </c>
      <c r="F361" t="s">
        <v>2754</v>
      </c>
      <c r="G361" s="14" t="s">
        <v>2710</v>
      </c>
      <c r="J361" t="str">
        <f>HYPERLINK("https://jicheng.tw/tcm/book/%e5%bc%b5%e6%84%9b%e5%bb%ac%e8%87%a8%e8%ad%89%e7%b6%93%e9%a9%97%e6%96%b9/index.html")</f>
        <v>https://jicheng.tw/tcm/book/%e5%bc%b5%e6%84%9b%e5%bb%ac%e8%87%a8%e8%ad%89%e7%b6%93%e9%a9%97%e6%96%b9/index.html</v>
      </c>
    </row>
    <row r="362" spans="1:10">
      <c r="A362" s="10" t="s">
        <v>1539</v>
      </c>
      <c r="B362" s="10" t="s">
        <v>1611</v>
      </c>
      <c r="C362" s="10"/>
      <c r="D362" t="s">
        <v>1636</v>
      </c>
      <c r="E362" t="s">
        <v>373</v>
      </c>
      <c r="J362" t="str">
        <f>HYPERLINK("https://jicheng.tw/tcm/book/%e6%80%aa%e8%ad%89%e5%a5%87%e6%96%b9/index.html")</f>
        <v>https://jicheng.tw/tcm/book/%e6%80%aa%e8%ad%89%e5%a5%87%e6%96%b9/index.html</v>
      </c>
    </row>
    <row r="363" spans="1:10">
      <c r="A363" s="10" t="s">
        <v>1539</v>
      </c>
      <c r="B363" s="10" t="s">
        <v>1611</v>
      </c>
      <c r="C363" s="10"/>
      <c r="D363" t="s">
        <v>374</v>
      </c>
      <c r="E363" t="s">
        <v>374</v>
      </c>
      <c r="F363" t="s">
        <v>2749</v>
      </c>
      <c r="G363" s="14" t="s">
        <v>2729</v>
      </c>
      <c r="J363" t="str">
        <f>HYPERLINK("https://jicheng.tw/tcm/book/%e6%b5%b7%e4%b8%8a%e4%bb%99%e6%96%b9%e5%be%8c%e9%9b%86/index.html")</f>
        <v>https://jicheng.tw/tcm/book/%e6%b5%b7%e4%b8%8a%e4%bb%99%e6%96%b9%e5%be%8c%e9%9b%86/index.html</v>
      </c>
    </row>
    <row r="364" spans="1:10">
      <c r="A364" s="10" t="s">
        <v>1539</v>
      </c>
      <c r="B364" s="10" t="s">
        <v>1611</v>
      </c>
      <c r="C364" s="10"/>
      <c r="D364" t="s">
        <v>1637</v>
      </c>
      <c r="E364" t="s">
        <v>375</v>
      </c>
      <c r="F364" t="s">
        <v>2755</v>
      </c>
      <c r="G364" s="14" t="s">
        <v>2743</v>
      </c>
      <c r="J364" t="str">
        <f>HYPERLINK("https://jicheng.tw/tcm/book/%e6%87%89%e6%80%a5%e8%89%af%e6%96%b9/index.html")</f>
        <v>https://jicheng.tw/tcm/book/%e6%87%89%e6%80%a5%e8%89%af%e6%96%b9/index.html</v>
      </c>
    </row>
    <row r="365" spans="1:10">
      <c r="A365" s="10" t="s">
        <v>1539</v>
      </c>
      <c r="B365" s="10" t="s">
        <v>1611</v>
      </c>
      <c r="C365" s="10"/>
      <c r="D365" t="s">
        <v>1638</v>
      </c>
      <c r="E365" t="s">
        <v>376</v>
      </c>
      <c r="F365" t="s">
        <v>2744</v>
      </c>
      <c r="G365" s="14" t="s">
        <v>2710</v>
      </c>
      <c r="H365" s="14">
        <v>1851</v>
      </c>
      <c r="J365" t="str">
        <f>HYPERLINK("https://jicheng.tw/tcm/book/%e6%bd%9b%e9%bd%8b%e7%b0%a1%e6%95%88%e6%96%b9/index.html")</f>
        <v>https://jicheng.tw/tcm/book/%e6%bd%9b%e9%bd%8b%e7%b0%a1%e6%95%88%e6%96%b9/index.html</v>
      </c>
    </row>
    <row r="366" spans="1:10">
      <c r="A366" s="10" t="s">
        <v>1539</v>
      </c>
      <c r="B366" s="10" t="s">
        <v>1611</v>
      </c>
      <c r="C366" s="10"/>
      <c r="D366" t="s">
        <v>1639</v>
      </c>
      <c r="E366" t="s">
        <v>377</v>
      </c>
      <c r="F366" t="s">
        <v>2744</v>
      </c>
      <c r="G366" s="14" t="s">
        <v>2710</v>
      </c>
      <c r="H366" s="14">
        <v>1854</v>
      </c>
      <c r="J366" t="str">
        <f>HYPERLINK("https://jicheng.tw/tcm/book/%e5%9b%9b%e7%a7%91%e7%b0%a1%e6%95%88%e6%96%b9/index.html")</f>
        <v>https://jicheng.tw/tcm/book/%e5%9b%9b%e7%a7%91%e7%b0%a1%e6%95%88%e6%96%b9/index.html</v>
      </c>
    </row>
    <row r="367" spans="1:10">
      <c r="A367" s="10" t="s">
        <v>1539</v>
      </c>
      <c r="B367" s="10" t="s">
        <v>1611</v>
      </c>
      <c r="C367" s="10"/>
      <c r="D367" t="s">
        <v>1640</v>
      </c>
      <c r="E367" t="s">
        <v>378</v>
      </c>
      <c r="F367" t="s">
        <v>2744</v>
      </c>
      <c r="G367" s="14" t="s">
        <v>2710</v>
      </c>
      <c r="J367" t="str">
        <f>HYPERLINK("https://jicheng.tw/tcm/book/%e6%a0%a1%e8%a8%82%e9%a1%98%e9%ab%94%e9%86%ab%e8%a9%b1%e8%89%af%e6%96%b9/index.html")</f>
        <v>https://jicheng.tw/tcm/book/%e6%a0%a1%e8%a8%82%e9%a1%98%e9%ab%94%e9%86%ab%e8%a9%b1%e8%89%af%e6%96%b9/index.html</v>
      </c>
    </row>
    <row r="368" spans="1:10">
      <c r="A368" s="10" t="s">
        <v>1539</v>
      </c>
      <c r="B368" s="10" t="s">
        <v>1611</v>
      </c>
      <c r="C368" s="10"/>
      <c r="D368" t="s">
        <v>379</v>
      </c>
      <c r="E368" t="s">
        <v>379</v>
      </c>
      <c r="F368" t="s">
        <v>2756</v>
      </c>
      <c r="G368" s="14" t="s">
        <v>2743</v>
      </c>
      <c r="H368" s="14">
        <v>1577</v>
      </c>
      <c r="J368" t="str">
        <f>HYPERLINK("https://jicheng.tw/tcm/book/%e7%a8%ae%e6%9d%8f%e4%bb%99%e6%96%b9/index.html")</f>
        <v>https://jicheng.tw/tcm/book/%e7%a8%ae%e6%9d%8f%e4%bb%99%e6%96%b9/index.html</v>
      </c>
    </row>
    <row r="369" spans="1:10">
      <c r="A369" s="10" t="s">
        <v>1539</v>
      </c>
      <c r="B369" s="10" t="s">
        <v>1611</v>
      </c>
      <c r="C369" s="10"/>
      <c r="D369" t="s">
        <v>1641</v>
      </c>
      <c r="E369" t="s">
        <v>380</v>
      </c>
      <c r="F369" t="s">
        <v>2757</v>
      </c>
      <c r="G369" s="14" t="s">
        <v>2743</v>
      </c>
      <c r="H369" s="14">
        <v>1633</v>
      </c>
      <c r="J369" t="str">
        <f>HYPERLINK("https://jicheng.tw/tcm/book/%e6%9c%ac%e8%8d%89%e5%96%ae%e6%96%b9/index.html")</f>
        <v>https://jicheng.tw/tcm/book/%e6%9c%ac%e8%8d%89%e5%96%ae%e6%96%b9/index.html</v>
      </c>
    </row>
    <row r="370" spans="1:10">
      <c r="A370" s="10" t="s">
        <v>1539</v>
      </c>
      <c r="B370" s="10" t="s">
        <v>1611</v>
      </c>
      <c r="C370" s="10"/>
      <c r="D370" t="s">
        <v>1642</v>
      </c>
      <c r="E370" t="s">
        <v>381</v>
      </c>
      <c r="F370" t="s">
        <v>2758</v>
      </c>
      <c r="G370" s="14" t="s">
        <v>2710</v>
      </c>
      <c r="H370" s="14">
        <v>1940</v>
      </c>
      <c r="J370" t="str">
        <f>HYPERLINK("https://jicheng.tw/tcm/book/%e5%87%8c%e8%87%a8%e9%9d%88%e6%96%b9/index.html")</f>
        <v>https://jicheng.tw/tcm/book/%e5%87%8c%e8%87%a8%e9%9d%88%e6%96%b9/index.html</v>
      </c>
    </row>
    <row r="371" spans="1:10">
      <c r="A371" s="10" t="s">
        <v>1539</v>
      </c>
      <c r="B371" s="10" t="s">
        <v>1611</v>
      </c>
      <c r="C371" s="10"/>
      <c r="D371" t="s">
        <v>382</v>
      </c>
      <c r="E371" t="s">
        <v>382</v>
      </c>
      <c r="F371" t="s">
        <v>2759</v>
      </c>
      <c r="J371" t="str">
        <f>HYPERLINK("https://jicheng.tw/tcm/book/%e4%b8%b9%e6%96%b9%e4%b9%8b%e7%a0%94%e7%a9%b6/index.html")</f>
        <v>https://jicheng.tw/tcm/book/%e4%b8%b9%e6%96%b9%e4%b9%8b%e7%a0%94%e7%a9%b6/index.html</v>
      </c>
    </row>
    <row r="372" spans="1:10">
      <c r="A372" s="10" t="s">
        <v>1539</v>
      </c>
      <c r="B372" s="10" t="s">
        <v>1611</v>
      </c>
      <c r="C372" s="10"/>
      <c r="D372" t="s">
        <v>1643</v>
      </c>
      <c r="E372" t="s">
        <v>383</v>
      </c>
      <c r="F372" t="s">
        <v>2760</v>
      </c>
      <c r="G372" s="14" t="s">
        <v>2743</v>
      </c>
      <c r="J372" t="str">
        <f>HYPERLINK("https://jicheng.tw/tcm/book/%e5%82%85%e6%b0%8f%e9%a9%97%e6%96%b9%e7%a7%98%e6%96%b9/index.html")</f>
        <v>https://jicheng.tw/tcm/book/%e5%82%85%e6%b0%8f%e9%a9%97%e6%96%b9%e7%a7%98%e6%96%b9/index.html</v>
      </c>
    </row>
    <row r="373" spans="1:10">
      <c r="A373" s="10" t="s">
        <v>1539</v>
      </c>
      <c r="B373" s="10" t="s">
        <v>1611</v>
      </c>
      <c r="C373" s="10"/>
      <c r="D373" t="s">
        <v>1644</v>
      </c>
      <c r="E373" t="s">
        <v>384</v>
      </c>
      <c r="F373" t="s">
        <v>2761</v>
      </c>
      <c r="G373" s="14" t="s">
        <v>2710</v>
      </c>
      <c r="J373" t="str">
        <f>HYPERLINK("https://jicheng.tw/tcm/book/%e7%b6%93%e9%a9%97%e9%81%b8%e7%a7%98/index.html")</f>
        <v>https://jicheng.tw/tcm/book/%e7%b6%93%e9%a9%97%e9%81%b8%e7%a7%98/index.html</v>
      </c>
    </row>
    <row r="374" spans="1:10">
      <c r="A374" s="10" t="s">
        <v>1539</v>
      </c>
      <c r="B374" s="10" t="s">
        <v>1611</v>
      </c>
      <c r="C374" s="10"/>
      <c r="D374" t="s">
        <v>1645</v>
      </c>
      <c r="E374" t="s">
        <v>385</v>
      </c>
      <c r="F374" t="s">
        <v>2762</v>
      </c>
      <c r="G374" s="14" t="s">
        <v>2710</v>
      </c>
      <c r="H374" s="14">
        <v>1711</v>
      </c>
      <c r="J374" t="str">
        <f>HYPERLINK("https://jicheng.tw/tcm/book/%e8%89%af%e6%9c%8b%e5%bd%99%e9%9b%86%e7%b6%93%e9%a9%97%e7%a5%9e%e6%96%b9/index.html")</f>
        <v>https://jicheng.tw/tcm/book/%e8%89%af%e6%9c%8b%e5%bd%99%e9%9b%86%e7%b6%93%e9%a9%97%e7%a5%9e%e6%96%b9/index.html</v>
      </c>
    </row>
    <row r="375" spans="1:10">
      <c r="A375" s="10" t="s">
        <v>1539</v>
      </c>
      <c r="B375" s="10" t="s">
        <v>1611</v>
      </c>
      <c r="C375" s="10"/>
      <c r="D375" t="s">
        <v>1646</v>
      </c>
      <c r="E375" t="s">
        <v>386</v>
      </c>
      <c r="F375" t="s">
        <v>2763</v>
      </c>
      <c r="G375" s="14" t="s">
        <v>2743</v>
      </c>
      <c r="J375" t="str">
        <f>HYPERLINK("https://jicheng.tw/tcm/book/%e8%8f%89%e7%ab%b9%e5%a0%82%e9%9b%86%e9%a9%97%e6%96%b9/index.html")</f>
        <v>https://jicheng.tw/tcm/book/%e8%8f%89%e7%ab%b9%e5%a0%82%e9%9b%86%e9%a9%97%e6%96%b9/index.html</v>
      </c>
    </row>
    <row r="376" spans="1:10">
      <c r="A376" s="10" t="s">
        <v>1539</v>
      </c>
      <c r="B376" s="10" t="s">
        <v>1611</v>
      </c>
      <c r="C376" s="10"/>
      <c r="D376" t="s">
        <v>1647</v>
      </c>
      <c r="E376" t="s">
        <v>387</v>
      </c>
      <c r="F376" t="s">
        <v>2764</v>
      </c>
      <c r="G376" s="14" t="s">
        <v>2740</v>
      </c>
      <c r="H376" s="14">
        <v>1918</v>
      </c>
      <c r="J376" t="str">
        <f>HYPERLINK("https://jicheng.tw/tcm/book/%e4%b1%90%e6%ba%aa%e7%a7%98%e5%82%b3%e7%b0%a1%e9%a9%97%e6%96%b9/index.html")</f>
        <v>https://jicheng.tw/tcm/book/%e4%b1%90%e6%ba%aa%e7%a7%98%e5%82%b3%e7%b0%a1%e9%a9%97%e6%96%b9/index.html</v>
      </c>
    </row>
    <row r="377" spans="1:10">
      <c r="A377" s="10" t="s">
        <v>1539</v>
      </c>
      <c r="B377" s="10" t="s">
        <v>1611</v>
      </c>
      <c r="C377" s="10"/>
      <c r="D377" t="s">
        <v>1648</v>
      </c>
      <c r="E377" t="s">
        <v>388</v>
      </c>
      <c r="F377" t="s">
        <v>2765</v>
      </c>
      <c r="G377" s="14" t="s">
        <v>2710</v>
      </c>
      <c r="H377" s="14">
        <v>1729</v>
      </c>
      <c r="J377" t="str">
        <f>HYPERLINK("https://jicheng.tw/tcm/book/%e9%9d%88%e9%a9%97%e8%89%af%e6%96%b9%e5%bd%99%e7%b7%a8/index.html")</f>
        <v>https://jicheng.tw/tcm/book/%e9%9d%88%e9%a9%97%e8%89%af%e6%96%b9%e5%bd%99%e7%b7%a8/index.html</v>
      </c>
    </row>
    <row r="378" spans="1:10">
      <c r="A378" s="10" t="s">
        <v>1539</v>
      </c>
      <c r="B378" s="10" t="s">
        <v>1611</v>
      </c>
      <c r="C378" s="10"/>
      <c r="D378" t="s">
        <v>389</v>
      </c>
      <c r="E378" t="s">
        <v>389</v>
      </c>
      <c r="F378" t="s">
        <v>2766</v>
      </c>
      <c r="G378" s="14" t="s">
        <v>2743</v>
      </c>
      <c r="H378" s="14">
        <v>1634</v>
      </c>
      <c r="J378" t="str">
        <f>HYPERLINK("https://jicheng.tw/tcm/book/%e8%99%ba%e5%be%8c%e6%96%b9/index.html")</f>
        <v>https://jicheng.tw/tcm/book/%e8%99%ba%e5%be%8c%e6%96%b9/index.html</v>
      </c>
    </row>
    <row r="379" spans="1:10">
      <c r="A379" s="10" t="s">
        <v>1649</v>
      </c>
      <c r="B379" s="10"/>
      <c r="C379" s="10"/>
      <c r="D379" t="s">
        <v>1650</v>
      </c>
      <c r="E379" t="s">
        <v>390</v>
      </c>
      <c r="F379" t="s">
        <v>2767</v>
      </c>
      <c r="G379" s="14" t="s">
        <v>2743</v>
      </c>
      <c r="H379" s="14">
        <v>1577</v>
      </c>
      <c r="J379" t="str">
        <f>HYPERLINK("https://jicheng.tw/tcm/book/%e5%a5%87%e7%b6%93%e5%85%ab%e8%84%88%e8%80%83/index.html")</f>
        <v>https://jicheng.tw/tcm/book/%e5%a5%87%e7%b6%93%e5%85%ab%e8%84%88%e8%80%83/index.html</v>
      </c>
    </row>
    <row r="380" spans="1:10">
      <c r="A380" s="10" t="s">
        <v>1649</v>
      </c>
      <c r="B380" s="10"/>
      <c r="C380" s="10"/>
      <c r="D380" t="s">
        <v>1651</v>
      </c>
      <c r="E380" t="s">
        <v>0</v>
      </c>
      <c r="F380" t="s">
        <v>2768</v>
      </c>
      <c r="G380" s="14" t="s">
        <v>2743</v>
      </c>
      <c r="H380" s="14">
        <v>1439</v>
      </c>
      <c r="J380" t="str">
        <f>HYPERLINK("https://jicheng.tw/tcm/book/%e9%87%9d%e7%81%b8%e5%a4%a7%e5%85%a8/index.html")</f>
        <v>https://jicheng.tw/tcm/book/%e9%87%9d%e7%81%b8%e5%a4%a7%e5%85%a8/index.html</v>
      </c>
    </row>
    <row r="381" spans="1:10">
      <c r="A381" s="10" t="s">
        <v>1649</v>
      </c>
      <c r="B381" s="10"/>
      <c r="C381" s="10"/>
      <c r="D381" t="s">
        <v>1652</v>
      </c>
      <c r="E381" t="s">
        <v>391</v>
      </c>
      <c r="G381" s="14" t="s">
        <v>2710</v>
      </c>
      <c r="H381" s="14" t="s">
        <v>2684</v>
      </c>
      <c r="J381" t="str">
        <f>HYPERLINK("https://jicheng.tw/tcm/book/%e5%87%8c%e9%96%80%e5%82%b3%e6%8e%88%e9%8a%85%e4%ba%ba%e6%8c%87%e7%a9%b4/index.html")</f>
        <v>https://jicheng.tw/tcm/book/%e5%87%8c%e9%96%80%e5%82%b3%e6%8e%88%e9%8a%85%e4%ba%ba%e6%8c%87%e7%a9%b4/index.html</v>
      </c>
    </row>
    <row r="382" spans="1:10">
      <c r="A382" s="10" t="s">
        <v>1649</v>
      </c>
      <c r="B382" s="10"/>
      <c r="C382" s="10"/>
      <c r="D382" t="s">
        <v>1653</v>
      </c>
      <c r="E382" t="s">
        <v>392</v>
      </c>
      <c r="F382" t="s">
        <v>2769</v>
      </c>
      <c r="G382" s="14" t="s">
        <v>2729</v>
      </c>
      <c r="J382" t="str">
        <f>HYPERLINK("https://jicheng.tw/tcm/book/%e9%87%9d%e7%81%b8%e7%a5%9e%e6%9b%b8/index.html")</f>
        <v>https://jicheng.tw/tcm/book/%e9%87%9d%e7%81%b8%e7%a5%9e%e6%9b%b8/index.html</v>
      </c>
    </row>
    <row r="383" spans="1:10">
      <c r="A383" s="10" t="s">
        <v>1649</v>
      </c>
      <c r="B383" s="10"/>
      <c r="C383" s="10"/>
      <c r="D383" t="s">
        <v>1654</v>
      </c>
      <c r="E383" t="s">
        <v>393</v>
      </c>
      <c r="F383" t="s">
        <v>2770</v>
      </c>
      <c r="G383" s="14" t="s">
        <v>2771</v>
      </c>
      <c r="H383" s="14">
        <v>256</v>
      </c>
      <c r="J383" t="str">
        <f>HYPERLINK("https://jicheng.tw/tcm/book/%e9%87%9d%e7%81%b8%e7%94%b2%e4%b9%99%e7%b6%93/index.html")</f>
        <v>https://jicheng.tw/tcm/book/%e9%87%9d%e7%81%b8%e7%94%b2%e4%b9%99%e7%b6%93/index.html</v>
      </c>
    </row>
    <row r="384" spans="1:10">
      <c r="A384" s="10" t="s">
        <v>1649</v>
      </c>
      <c r="B384" s="10"/>
      <c r="C384" s="10"/>
      <c r="D384" t="s">
        <v>1655</v>
      </c>
      <c r="E384" t="s">
        <v>394</v>
      </c>
      <c r="F384" t="s">
        <v>2770</v>
      </c>
      <c r="G384" s="14" t="s">
        <v>2771</v>
      </c>
      <c r="J384" t="str">
        <f>HYPERLINK("https://jicheng.tw/tcm/book/%e9%87%9d%e7%81%b8%e7%94%b2%e4%b9%99%e7%b6%93%5f%31/index.html")</f>
        <v>https://jicheng.tw/tcm/book/%e9%87%9d%e7%81%b8%e7%94%b2%e4%b9%99%e7%b6%93%5f%31/index.html</v>
      </c>
    </row>
    <row r="385" spans="1:10">
      <c r="A385" s="10" t="s">
        <v>1649</v>
      </c>
      <c r="B385" s="10"/>
      <c r="C385" s="10"/>
      <c r="D385" t="s">
        <v>1656</v>
      </c>
      <c r="E385" t="s">
        <v>395</v>
      </c>
      <c r="F385" t="s">
        <v>2772</v>
      </c>
      <c r="G385" s="14" t="s">
        <v>2710</v>
      </c>
      <c r="J385" t="str">
        <f>HYPERLINK("https://jicheng.tw/tcm/book/%e9%87%91%e9%87%9d%e7%a7%98%e5%82%b3/index.html")</f>
        <v>https://jicheng.tw/tcm/book/%e9%87%91%e9%87%9d%e7%a7%98%e5%82%b3/index.html</v>
      </c>
    </row>
    <row r="386" spans="1:10">
      <c r="A386" s="10" t="s">
        <v>1649</v>
      </c>
      <c r="B386" s="10"/>
      <c r="C386" s="10"/>
      <c r="D386" t="s">
        <v>1657</v>
      </c>
      <c r="E386" t="s">
        <v>396</v>
      </c>
      <c r="F386" t="s">
        <v>2773</v>
      </c>
      <c r="G386" s="14" t="s">
        <v>2710</v>
      </c>
      <c r="H386" s="14">
        <v>1874</v>
      </c>
      <c r="J386" t="str">
        <f>HYPERLINK("https://jicheng.tw/tcm/book/%e9%87%9d%e7%81%b8%e9%9b%86%e6%88%90/index.html")</f>
        <v>https://jicheng.tw/tcm/book/%e9%87%9d%e7%81%b8%e9%9b%86%e6%88%90/index.html</v>
      </c>
    </row>
    <row r="387" spans="1:10">
      <c r="A387" s="10" t="s">
        <v>1649</v>
      </c>
      <c r="B387" s="10"/>
      <c r="C387" s="10"/>
      <c r="D387" t="s">
        <v>1658</v>
      </c>
      <c r="E387" t="s">
        <v>397</v>
      </c>
      <c r="F387" t="s">
        <v>2774</v>
      </c>
      <c r="G387" s="14" t="s">
        <v>2775</v>
      </c>
      <c r="H387" s="14">
        <v>1329</v>
      </c>
      <c r="J387" t="str">
        <f>HYPERLINK("https://jicheng.tw/tcm/book/%e6%89%81%e9%b5%b2%e7%a5%9e%e6%87%89%e9%87%9d%e7%81%b8%e7%8e%89%e9%be%8d%e7%b6%93/index.html")</f>
        <v>https://jicheng.tw/tcm/book/%e6%89%81%e9%b5%b2%e7%a5%9e%e6%87%89%e9%87%9d%e7%81%b8%e7%8e%89%e9%be%8d%e7%b6%93/index.html</v>
      </c>
    </row>
    <row r="388" spans="1:10">
      <c r="A388" s="10" t="s">
        <v>1649</v>
      </c>
      <c r="B388" s="10"/>
      <c r="C388" s="10"/>
      <c r="D388" t="s">
        <v>1659</v>
      </c>
      <c r="E388" t="s">
        <v>398</v>
      </c>
      <c r="F388" t="s">
        <v>2776</v>
      </c>
      <c r="G388" s="14" t="s">
        <v>2743</v>
      </c>
      <c r="H388" s="14">
        <v>1591</v>
      </c>
      <c r="J388" t="str">
        <f>HYPERLINK("https://jicheng.tw/tcm/book/%e6%a5%8a%e6%95%ac%e9%bd%8b%e9%87%9d%e7%81%b8%e5%85%a8%e6%9b%b8/index.html")</f>
        <v>https://jicheng.tw/tcm/book/%e6%a5%8a%e6%95%ac%e9%bd%8b%e9%87%9d%e7%81%b8%e5%85%a8%e6%9b%b8/index.html</v>
      </c>
    </row>
    <row r="389" spans="1:10">
      <c r="A389" s="10" t="s">
        <v>1649</v>
      </c>
      <c r="B389" s="10"/>
      <c r="C389" s="10"/>
      <c r="D389" t="s">
        <v>1660</v>
      </c>
      <c r="E389" t="s">
        <v>399</v>
      </c>
      <c r="F389" t="s">
        <v>2777</v>
      </c>
      <c r="G389" s="14" t="s">
        <v>2743</v>
      </c>
      <c r="H389" s="14">
        <v>1628</v>
      </c>
      <c r="J389" t="str">
        <f>HYPERLINK("https://jicheng.tw/tcm/book/%e7%b6%93%e7%b5%a1%e5%bd%99%e7%b7%a8/index.html")</f>
        <v>https://jicheng.tw/tcm/book/%e7%b6%93%e7%b5%a1%e5%bd%99%e7%b7%a8/index.html</v>
      </c>
    </row>
    <row r="390" spans="1:10">
      <c r="A390" s="10" t="s">
        <v>1649</v>
      </c>
      <c r="B390" s="10"/>
      <c r="C390" s="10"/>
      <c r="D390" t="s">
        <v>1661</v>
      </c>
      <c r="E390" t="s">
        <v>400</v>
      </c>
      <c r="F390" t="s">
        <v>2778</v>
      </c>
      <c r="G390" s="14" t="s">
        <v>2743</v>
      </c>
      <c r="H390" s="14">
        <v>1576</v>
      </c>
      <c r="J390" t="str">
        <f>HYPERLINK("https://jicheng.tw/tcm/book/%e7%b6%93%e7%b5%a1%e5%85%a8%e6%9b%b8/index.html")</f>
        <v>https://jicheng.tw/tcm/book/%e7%b6%93%e7%b5%a1%e5%85%a8%e6%9b%b8/index.html</v>
      </c>
    </row>
    <row r="391" spans="1:10">
      <c r="A391" s="10" t="s">
        <v>1649</v>
      </c>
      <c r="B391" s="10"/>
      <c r="C391" s="10"/>
      <c r="D391" t="s">
        <v>1662</v>
      </c>
      <c r="E391" t="s">
        <v>401</v>
      </c>
      <c r="F391" t="s">
        <v>2779</v>
      </c>
      <c r="G391" s="14" t="s">
        <v>2710</v>
      </c>
      <c r="H391" s="14">
        <v>1798</v>
      </c>
      <c r="J391" t="str">
        <f>HYPERLINK("https://jicheng.tw/tcm/book/%e9%87%9d%e7%81%b8%e6%98%93%e5%ad%b8/index.html")</f>
        <v>https://jicheng.tw/tcm/book/%e9%87%9d%e7%81%b8%e6%98%93%e5%ad%b8/index.html</v>
      </c>
    </row>
    <row r="392" spans="1:10">
      <c r="A392" s="10" t="s">
        <v>1649</v>
      </c>
      <c r="B392" s="10"/>
      <c r="C392" s="10"/>
      <c r="D392" t="s">
        <v>1663</v>
      </c>
      <c r="E392" t="s">
        <v>402</v>
      </c>
      <c r="F392" t="s">
        <v>2780</v>
      </c>
      <c r="G392" s="14" t="s">
        <v>2743</v>
      </c>
      <c r="H392" s="14">
        <v>1406</v>
      </c>
      <c r="J392" s="4" t="str">
        <f>HYPERLINK("https://jicheng.tw/tcm/book/%E6%99%AE%E6%BF%9F%E6%96%B9/%E9%87%9D%E7%81%B8%E9%96%80/index.html")</f>
        <v>https://jicheng.tw/tcm/book/%E6%99%AE%E6%BF%9F%E6%96%B9/%E9%87%9D%E7%81%B8%E9%96%80/index.html</v>
      </c>
    </row>
    <row r="393" spans="1:10">
      <c r="A393" s="10" t="s">
        <v>1649</v>
      </c>
      <c r="B393" s="10"/>
      <c r="C393" s="10"/>
      <c r="D393" t="s">
        <v>1664</v>
      </c>
      <c r="E393" t="s">
        <v>403</v>
      </c>
      <c r="F393" t="s">
        <v>2781</v>
      </c>
      <c r="G393" s="14" t="s">
        <v>2743</v>
      </c>
      <c r="H393" s="14">
        <v>1529</v>
      </c>
      <c r="J393" t="str">
        <f>HYPERLINK("https://jicheng.tw/tcm/book/%e9%87%9d%e7%81%b8%e8%81%9a%e8%8b%b1/index.html")</f>
        <v>https://jicheng.tw/tcm/book/%e9%87%9d%e7%81%b8%e8%81%9a%e8%8b%b1/index.html</v>
      </c>
    </row>
    <row r="394" spans="1:10">
      <c r="A394" s="10" t="s">
        <v>1649</v>
      </c>
      <c r="B394" s="10"/>
      <c r="C394" s="10"/>
      <c r="D394" t="s">
        <v>1665</v>
      </c>
      <c r="E394" t="s">
        <v>404</v>
      </c>
      <c r="F394" t="s">
        <v>2781</v>
      </c>
      <c r="G394" s="14" t="s">
        <v>2743</v>
      </c>
      <c r="J394" t="str">
        <f>HYPERLINK("https://jicheng.tw/tcm/book/%e9%87%9d%e7%81%b8%e8%81%9a%e8%8b%b1%5f%31/index.html")</f>
        <v>https://jicheng.tw/tcm/book/%e9%87%9d%e7%81%b8%e8%81%9a%e8%8b%b1%5f%31/index.html</v>
      </c>
    </row>
    <row r="395" spans="1:10">
      <c r="A395" s="10" t="s">
        <v>1649</v>
      </c>
      <c r="B395" s="10"/>
      <c r="C395" s="10"/>
      <c r="D395" t="s">
        <v>2369</v>
      </c>
      <c r="E395" t="s">
        <v>2367</v>
      </c>
      <c r="F395" t="s">
        <v>2782</v>
      </c>
      <c r="G395" s="14" t="s">
        <v>2710</v>
      </c>
      <c r="H395" s="14">
        <v>1742</v>
      </c>
      <c r="J395" s="4" t="str">
        <f>HYPERLINK("https://jicheng.tw/tcm/book/%E9%86%AB%E5%AE%97%E9%87%91%E9%91%91/%E5%88%BA%E7%81%B8%E5%BF%83%E6%B3%95%E8%A6%81%E8%A8%A3/index.html")</f>
        <v>https://jicheng.tw/tcm/book/%E9%86%AB%E5%AE%97%E9%87%91%E9%91%91/%E5%88%BA%E7%81%B8%E5%BF%83%E6%B3%95%E8%A6%81%E8%A8%A3/index.html</v>
      </c>
    </row>
    <row r="396" spans="1:10">
      <c r="A396" s="10" t="s">
        <v>1649</v>
      </c>
      <c r="B396" s="10"/>
      <c r="C396" s="10"/>
      <c r="D396" t="s">
        <v>1667</v>
      </c>
      <c r="E396" t="s">
        <v>406</v>
      </c>
      <c r="F396" t="s">
        <v>2783</v>
      </c>
      <c r="G396" s="14" t="s">
        <v>2743</v>
      </c>
      <c r="H396" s="14">
        <v>1530</v>
      </c>
      <c r="J396" t="str">
        <f>HYPERLINK("https://jicheng.tw/tcm/book/%e9%87%9d%e7%81%b8%e5%95%8f%e5%b0%8d/index.html")</f>
        <v>https://jicheng.tw/tcm/book/%e9%87%9d%e7%81%b8%e5%95%8f%e5%b0%8d/index.html</v>
      </c>
    </row>
    <row r="397" spans="1:10">
      <c r="A397" s="10" t="s">
        <v>1649</v>
      </c>
      <c r="B397" s="10"/>
      <c r="C397" s="10"/>
      <c r="D397" t="s">
        <v>1668</v>
      </c>
      <c r="E397" t="s">
        <v>407</v>
      </c>
      <c r="F397" t="s">
        <v>2783</v>
      </c>
      <c r="G397" s="14" t="s">
        <v>2743</v>
      </c>
      <c r="J397" t="str">
        <f>HYPERLINK("https://jicheng.tw/tcm/book/%e9%87%9d%e7%81%b8%e5%95%8f%e5%b0%8d%5f%31/index.html")</f>
        <v>https://jicheng.tw/tcm/book/%e9%87%9d%e7%81%b8%e5%95%8f%e5%b0%8d%5f%31/index.html</v>
      </c>
    </row>
    <row r="398" spans="1:10">
      <c r="A398" s="10" t="s">
        <v>1649</v>
      </c>
      <c r="B398" s="10"/>
      <c r="C398" s="10"/>
      <c r="D398" t="s">
        <v>1669</v>
      </c>
      <c r="E398" t="s">
        <v>408</v>
      </c>
      <c r="F398" t="s">
        <v>2784</v>
      </c>
      <c r="G398" s="14" t="s">
        <v>2775</v>
      </c>
      <c r="H398" s="14">
        <v>1295</v>
      </c>
      <c r="J398" t="str">
        <f>HYPERLINK("https://jicheng.tw/tcm/book/%e9%87%9d%e7%b6%93%e6%8c%87%e5%8d%97/index.html")</f>
        <v>https://jicheng.tw/tcm/book/%e9%87%9d%e7%b6%93%e6%8c%87%e5%8d%97/index.html</v>
      </c>
    </row>
    <row r="399" spans="1:10">
      <c r="A399" s="10" t="s">
        <v>1649</v>
      </c>
      <c r="B399" s="10"/>
      <c r="C399" s="10"/>
      <c r="D399" t="s">
        <v>1670</v>
      </c>
      <c r="E399" t="s">
        <v>409</v>
      </c>
      <c r="G399" s="14" t="s">
        <v>2785</v>
      </c>
      <c r="J399" t="str">
        <f>HYPERLINK("https://jicheng.tw/tcm/book/%e9%bb%83%e5%b8%9d%e6%98%8e%e5%a0%82%e7%81%b8%e7%b6%93/index.html")</f>
        <v>https://jicheng.tw/tcm/book/%e9%bb%83%e5%b8%9d%e6%98%8e%e5%a0%82%e7%81%b8%e7%b6%93/index.html</v>
      </c>
    </row>
    <row r="400" spans="1:10">
      <c r="A400" s="10" t="s">
        <v>1649</v>
      </c>
      <c r="B400" s="10"/>
      <c r="C400" s="10"/>
      <c r="D400" t="s">
        <v>1671</v>
      </c>
      <c r="E400" t="s">
        <v>410</v>
      </c>
      <c r="F400" t="s">
        <v>2786</v>
      </c>
      <c r="G400" s="14" t="s">
        <v>2775</v>
      </c>
      <c r="H400" s="14">
        <v>1315</v>
      </c>
      <c r="J400" t="str">
        <f>HYPERLINK("https://jicheng.tw/tcm/book/%e9%87%9d%e7%b6%93%e7%af%80%e8%a6%81/index.html")</f>
        <v>https://jicheng.tw/tcm/book/%e9%87%9d%e7%b6%93%e7%af%80%e8%a6%81/index.html</v>
      </c>
    </row>
    <row r="401" spans="1:10">
      <c r="A401" s="10" t="s">
        <v>1649</v>
      </c>
      <c r="B401" s="10"/>
      <c r="C401" s="10"/>
      <c r="D401" t="s">
        <v>1672</v>
      </c>
      <c r="E401" t="s">
        <v>411</v>
      </c>
      <c r="F401" t="s">
        <v>2787</v>
      </c>
      <c r="G401" s="14" t="s">
        <v>2788</v>
      </c>
      <c r="H401" s="14">
        <v>1220</v>
      </c>
      <c r="J401" t="str">
        <f>HYPERLINK("https://jicheng.tw/tcm/book/%e9%87%9d%e7%81%b8%e8%b3%87%e7%94%9f%e7%b6%93/index.html")</f>
        <v>https://jicheng.tw/tcm/book/%e9%87%9d%e7%81%b8%e8%b3%87%e7%94%9f%e7%b6%93/index.html</v>
      </c>
    </row>
    <row r="402" spans="1:10">
      <c r="A402" s="10" t="s">
        <v>1649</v>
      </c>
      <c r="B402" s="10"/>
      <c r="C402" s="10"/>
      <c r="D402" t="s">
        <v>1673</v>
      </c>
      <c r="E402" t="s">
        <v>412</v>
      </c>
      <c r="F402" t="s">
        <v>2781</v>
      </c>
      <c r="G402" s="14" t="s">
        <v>2743</v>
      </c>
      <c r="H402" s="14">
        <v>1537</v>
      </c>
      <c r="J402" t="str">
        <f>HYPERLINK("https://jicheng.tw/tcm/book/%e9%87%9d%e7%81%b8%e7%b4%a0%e9%9b%a3%e8%a6%81%e6%97%a8/index.html")</f>
        <v>https://jicheng.tw/tcm/book/%e9%87%9d%e7%81%b8%e7%b4%a0%e9%9b%a3%e8%a6%81%e6%97%a8/index.html</v>
      </c>
    </row>
    <row r="403" spans="1:10">
      <c r="A403" s="10" t="s">
        <v>1649</v>
      </c>
      <c r="B403" s="10"/>
      <c r="C403" s="10"/>
      <c r="D403" t="s">
        <v>1674</v>
      </c>
      <c r="E403" t="s">
        <v>413</v>
      </c>
      <c r="F403" t="s">
        <v>2789</v>
      </c>
      <c r="G403" s="14" t="s">
        <v>2710</v>
      </c>
      <c r="H403" s="14">
        <v>1803</v>
      </c>
      <c r="J403" t="str">
        <f>HYPERLINK("https://jicheng.tw/tcm/book/%e7%b6%93%e7%a9%b4%e5%bd%99%e8%a7%a3/index.html")</f>
        <v>https://jicheng.tw/tcm/book/%e7%b6%93%e7%a9%b4%e5%bd%99%e8%a7%a3/index.html</v>
      </c>
    </row>
    <row r="404" spans="1:10">
      <c r="A404" s="10" t="s">
        <v>1649</v>
      </c>
      <c r="B404" s="10"/>
      <c r="C404" s="10"/>
      <c r="D404" t="s">
        <v>1675</v>
      </c>
      <c r="E404" t="s">
        <v>414</v>
      </c>
      <c r="G404" s="14" t="s">
        <v>2775</v>
      </c>
      <c r="H404" s="14">
        <v>1368</v>
      </c>
      <c r="J404" t="str">
        <f>HYPERLINK("https://jicheng.tw/tcm/book/%e8%a5%bf%e6%96%b9%e5%ad%90%e6%98%8e%e5%a0%82%e7%81%b8%e7%b6%93/index.html")</f>
        <v>https://jicheng.tw/tcm/book/%e8%a5%bf%e6%96%b9%e5%ad%90%e6%98%8e%e5%a0%82%e7%81%b8%e7%b6%93/index.html</v>
      </c>
    </row>
    <row r="405" spans="1:10">
      <c r="A405" s="10" t="s">
        <v>1649</v>
      </c>
      <c r="B405" s="10"/>
      <c r="C405" s="10"/>
      <c r="D405" t="s">
        <v>1676</v>
      </c>
      <c r="E405" t="s">
        <v>415</v>
      </c>
      <c r="F405" t="s">
        <v>2790</v>
      </c>
      <c r="G405" s="14" t="s">
        <v>2743</v>
      </c>
      <c r="H405" s="14">
        <v>1497</v>
      </c>
      <c r="J405" t="str">
        <f>HYPERLINK("https://jicheng.tw/tcm/book/%e9%9d%88%e6%a8%9e%e7%b6%93%e8%84%88%e7%bf%bc/index.html")</f>
        <v>https://jicheng.tw/tcm/book/%e9%9d%88%e6%a8%9e%e7%b6%93%e8%84%88%e7%bf%bc/index.html</v>
      </c>
    </row>
    <row r="406" spans="1:10">
      <c r="A406" s="10" t="s">
        <v>1649</v>
      </c>
      <c r="B406" s="10"/>
      <c r="C406" s="10"/>
      <c r="D406" t="s">
        <v>1677</v>
      </c>
      <c r="E406" t="s">
        <v>416</v>
      </c>
      <c r="F406" t="s">
        <v>2791</v>
      </c>
      <c r="G406" s="14" t="s">
        <v>2743</v>
      </c>
      <c r="H406" s="14">
        <v>1609</v>
      </c>
      <c r="J406" t="str">
        <f>HYPERLINK("https://jicheng.tw/tcm/book/%e7%b6%93%e7%b5%a1%e8%80%83/index.html")</f>
        <v>https://jicheng.tw/tcm/book/%e7%b6%93%e7%b5%a1%e8%80%83/index.html</v>
      </c>
    </row>
    <row r="407" spans="1:10">
      <c r="A407" s="10" t="s">
        <v>1649</v>
      </c>
      <c r="B407" s="10"/>
      <c r="C407" s="10"/>
      <c r="D407" t="s">
        <v>1678</v>
      </c>
      <c r="E407" t="s">
        <v>417</v>
      </c>
      <c r="F407" t="s">
        <v>2792</v>
      </c>
      <c r="G407" s="14" t="s">
        <v>2775</v>
      </c>
      <c r="H407" s="14">
        <v>1341</v>
      </c>
      <c r="J407" t="str">
        <f>HYPERLINK("https://jicheng.tw/tcm/book/%e5%8d%81%e5%9b%9b%e7%b6%93%e7%99%bc%e6%8f%ae/index.html")</f>
        <v>https://jicheng.tw/tcm/book/%e5%8d%81%e5%9b%9b%e7%b6%93%e7%99%bc%e6%8f%ae/index.html</v>
      </c>
    </row>
    <row r="408" spans="1:10">
      <c r="A408" s="10" t="s">
        <v>1649</v>
      </c>
      <c r="B408" s="10"/>
      <c r="C408" s="10"/>
      <c r="D408" t="s">
        <v>1679</v>
      </c>
      <c r="E408" t="s">
        <v>418</v>
      </c>
      <c r="F408" t="s">
        <v>2792</v>
      </c>
      <c r="G408" s="14" t="s">
        <v>2775</v>
      </c>
      <c r="J408" t="str">
        <f>HYPERLINK("https://jicheng.tw/tcm/book/%e5%8d%81%e5%9b%9b%e7%b6%93%e7%99%bc%e6%8f%ae%5f%31/index.html")</f>
        <v>https://jicheng.tw/tcm/book/%e5%8d%81%e5%9b%9b%e7%b6%93%e7%99%bc%e6%8f%ae%5f%31/index.html</v>
      </c>
    </row>
    <row r="409" spans="1:10">
      <c r="A409" s="10" t="s">
        <v>1649</v>
      </c>
      <c r="B409" s="10"/>
      <c r="C409" s="10"/>
      <c r="D409" t="s">
        <v>1680</v>
      </c>
      <c r="E409" t="s">
        <v>419</v>
      </c>
      <c r="F409" t="s">
        <v>2793</v>
      </c>
      <c r="G409" s="14" t="s">
        <v>2743</v>
      </c>
      <c r="J409" t="str">
        <f>HYPERLINK("https://jicheng.tw/tcm/book/%e9%87%9d%e7%81%b8%e5%a4%a7%e6%88%90/index.html")</f>
        <v>https://jicheng.tw/tcm/book/%e9%87%9d%e7%81%b8%e5%a4%a7%e6%88%90/index.html</v>
      </c>
    </row>
    <row r="410" spans="1:10">
      <c r="A410" s="10" t="s">
        <v>1649</v>
      </c>
      <c r="B410" s="10"/>
      <c r="C410" s="10"/>
      <c r="D410" t="s">
        <v>1681</v>
      </c>
      <c r="E410" t="s">
        <v>420</v>
      </c>
      <c r="F410" t="s">
        <v>2793</v>
      </c>
      <c r="G410" s="14" t="s">
        <v>2743</v>
      </c>
      <c r="J410" t="str">
        <f>HYPERLINK("https://jicheng.tw/tcm/book/%e9%87%9d%e7%81%b8%e5%a4%a7%e6%88%90%5f%31/index.html")</f>
        <v>https://jicheng.tw/tcm/book/%e9%87%9d%e7%81%b8%e5%a4%a7%e6%88%90%5f%31/index.html</v>
      </c>
    </row>
    <row r="411" spans="1:10">
      <c r="A411" s="10" t="s">
        <v>1649</v>
      </c>
      <c r="B411" s="10"/>
      <c r="C411" s="10"/>
      <c r="D411" t="s">
        <v>1682</v>
      </c>
      <c r="E411" t="s">
        <v>421</v>
      </c>
      <c r="F411" t="s">
        <v>2781</v>
      </c>
      <c r="G411" s="14" t="s">
        <v>2743</v>
      </c>
      <c r="H411" s="14">
        <v>1529</v>
      </c>
      <c r="J411" t="str">
        <f>HYPERLINK("https://jicheng.tw/tcm/book/%e9%87%9d%e7%81%b8%e7%af%80%e8%a6%81/index.html")</f>
        <v>https://jicheng.tw/tcm/book/%e9%87%9d%e7%81%b8%e7%af%80%e8%a6%81/index.html</v>
      </c>
    </row>
    <row r="412" spans="1:10">
      <c r="A412" s="10" t="s">
        <v>1649</v>
      </c>
      <c r="B412" s="10"/>
      <c r="C412" s="10"/>
      <c r="D412" t="s">
        <v>1683</v>
      </c>
      <c r="E412" t="s">
        <v>422</v>
      </c>
      <c r="F412" t="s">
        <v>2794</v>
      </c>
      <c r="G412" s="14" t="s">
        <v>2743</v>
      </c>
      <c r="H412" s="14">
        <v>1425</v>
      </c>
      <c r="J412" t="str">
        <f>HYPERLINK("https://jicheng.tw/tcm/book/%e7%a5%9e%e6%87%89%e7%b6%93/index.html")</f>
        <v>https://jicheng.tw/tcm/book/%e7%a5%9e%e6%87%89%e7%b6%93/index.html</v>
      </c>
    </row>
    <row r="413" spans="1:10">
      <c r="A413" s="10" t="s">
        <v>1649</v>
      </c>
      <c r="B413" s="10"/>
      <c r="C413" s="10"/>
      <c r="D413" t="s">
        <v>1684</v>
      </c>
      <c r="E413" t="s">
        <v>423</v>
      </c>
      <c r="F413" t="s">
        <v>2795</v>
      </c>
      <c r="G413" s="14" t="s">
        <v>2710</v>
      </c>
      <c r="H413" s="14">
        <v>1815</v>
      </c>
      <c r="J413" t="str">
        <f>HYPERLINK("https://jicheng.tw/tcm/book/%e9%87%9d%e7%81%b8%e9%80%a2%e6%ba%90/index.html")</f>
        <v>https://jicheng.tw/tcm/book/%e9%87%9d%e7%81%b8%e9%80%a2%e6%ba%90/index.html</v>
      </c>
    </row>
    <row r="414" spans="1:10">
      <c r="A414" s="10" t="s">
        <v>1649</v>
      </c>
      <c r="B414" s="10"/>
      <c r="C414" s="10"/>
      <c r="D414" t="s">
        <v>1685</v>
      </c>
      <c r="E414" t="s">
        <v>424</v>
      </c>
      <c r="F414" t="s">
        <v>2796</v>
      </c>
      <c r="G414" s="14" t="s">
        <v>2743</v>
      </c>
      <c r="H414" s="14">
        <v>1624</v>
      </c>
      <c r="J414" t="str">
        <f>HYPERLINK("https://jicheng.tw/tcm/book/%e9%a1%9e%e7%b6%93%e5%9c%96%e7%bf%bc/index.html")</f>
        <v>https://jicheng.tw/tcm/book/%e9%a1%9e%e7%b6%93%e5%9c%96%e7%bf%bc/index.html</v>
      </c>
    </row>
    <row r="415" spans="1:10">
      <c r="A415" s="10" t="s">
        <v>1649</v>
      </c>
      <c r="B415" s="10"/>
      <c r="C415" s="10"/>
      <c r="D415" t="s">
        <v>425</v>
      </c>
      <c r="E415" t="s">
        <v>425</v>
      </c>
      <c r="F415" t="s">
        <v>2773</v>
      </c>
      <c r="G415" s="14" t="s">
        <v>2710</v>
      </c>
      <c r="H415" s="14">
        <v>1874</v>
      </c>
      <c r="J415" t="str">
        <f>HYPERLINK("https://jicheng.tw/tcm/book/%e8%80%83%e6%ad%a3%e5%91%a8%e8%ba%ab%e7%a9%b4%e6%b3%95%e6%ad%8c/index.html")</f>
        <v>https://jicheng.tw/tcm/book/%e8%80%83%e6%ad%a3%e5%91%a8%e8%ba%ab%e7%a9%b4%e6%b3%95%e6%ad%8c/index.html</v>
      </c>
    </row>
    <row r="416" spans="1:10">
      <c r="A416" s="10" t="s">
        <v>1649</v>
      </c>
      <c r="B416" s="10"/>
      <c r="C416" s="10"/>
      <c r="D416" t="s">
        <v>426</v>
      </c>
      <c r="E416" t="s">
        <v>426</v>
      </c>
      <c r="F416" t="s">
        <v>2797</v>
      </c>
      <c r="G416" s="14" t="s">
        <v>2710</v>
      </c>
      <c r="H416" s="14">
        <v>1763</v>
      </c>
      <c r="J416" t="str">
        <f>HYPERLINK("https://jicheng.tw/tcm/book/%e8%b3%87%e7%94%9f%e9%9b%86/index.html")</f>
        <v>https://jicheng.tw/tcm/book/%e8%b3%87%e7%94%9f%e9%9b%86/index.html</v>
      </c>
    </row>
    <row r="417" spans="1:10">
      <c r="A417" s="10" t="s">
        <v>1649</v>
      </c>
      <c r="B417" s="10"/>
      <c r="C417" s="10"/>
      <c r="D417" t="s">
        <v>1686</v>
      </c>
      <c r="E417" t="s">
        <v>427</v>
      </c>
      <c r="F417" t="s">
        <v>2798</v>
      </c>
      <c r="G417" s="14" t="s">
        <v>2710</v>
      </c>
      <c r="H417" s="14">
        <v>1899</v>
      </c>
      <c r="J417" t="str">
        <f>HYPERLINK("https://jicheng.tw/tcm/book/%e4%b8%ad%e8%a5%bf%e5%8c%af%e5%8f%83%e9%8a%85%e4%ba%ba%e5%9c%96%e8%aa%aa/index.html")</f>
        <v>https://jicheng.tw/tcm/book/%e4%b8%ad%e8%a5%bf%e5%8c%af%e5%8f%83%e9%8a%85%e4%ba%ba%e5%9c%96%e8%aa%aa/index.html</v>
      </c>
    </row>
    <row r="418" spans="1:10">
      <c r="A418" s="10" t="s">
        <v>1649</v>
      </c>
      <c r="B418" s="10"/>
      <c r="C418" s="10"/>
      <c r="D418" t="s">
        <v>1687</v>
      </c>
      <c r="E418" t="s">
        <v>428</v>
      </c>
      <c r="F418" t="s">
        <v>2799</v>
      </c>
      <c r="G418" s="14" t="s">
        <v>2740</v>
      </c>
      <c r="H418" s="14">
        <v>1929</v>
      </c>
      <c r="J418" t="str">
        <f>HYPERLINK("https://jicheng.tw/tcm/book/%e9%87%9d%e7%81%b8%e5%95%8f%e7%ad%94/index.html")</f>
        <v>https://jicheng.tw/tcm/book/%e9%87%9d%e7%81%b8%e5%95%8f%e7%ad%94/index.html</v>
      </c>
    </row>
    <row r="419" spans="1:10">
      <c r="A419" s="10" t="s">
        <v>1649</v>
      </c>
      <c r="B419" s="10"/>
      <c r="C419" s="10"/>
      <c r="D419" t="s">
        <v>1688</v>
      </c>
      <c r="E419" t="s">
        <v>429</v>
      </c>
      <c r="F419" t="s">
        <v>2800</v>
      </c>
      <c r="G419" s="14" t="s">
        <v>2710</v>
      </c>
      <c r="J419" t="str">
        <f>HYPERLINK("https://jicheng.tw/tcm/book/%e7%b6%93%e8%84%88%e5%9c%96%e8%80%83/index.html")</f>
        <v>https://jicheng.tw/tcm/book/%e7%b6%93%e8%84%88%e5%9c%96%e8%80%83/index.html</v>
      </c>
    </row>
    <row r="420" spans="1:10">
      <c r="A420" s="10" t="s">
        <v>1649</v>
      </c>
      <c r="B420" s="10"/>
      <c r="C420" s="10"/>
      <c r="D420" t="s">
        <v>1689</v>
      </c>
      <c r="E420" t="s">
        <v>430</v>
      </c>
      <c r="F420" t="s">
        <v>2773</v>
      </c>
      <c r="G420" s="14" t="s">
        <v>2710</v>
      </c>
      <c r="J420" t="str">
        <f>HYPERLINK("https://jicheng.tw/tcm/book/%e5%8b%89%e5%ad%b8%e5%a0%82%e9%87%9d%e7%81%b8%e9%9b%86%e6%88%90/index.html")</f>
        <v>https://jicheng.tw/tcm/book/%e5%8b%89%e5%ad%b8%e5%a0%82%e9%87%9d%e7%81%b8%e9%9b%86%e6%88%90/index.html</v>
      </c>
    </row>
    <row r="421" spans="1:10">
      <c r="A421" s="10" t="s">
        <v>1649</v>
      </c>
      <c r="B421" s="10"/>
      <c r="C421" s="10"/>
      <c r="D421" t="s">
        <v>1690</v>
      </c>
      <c r="E421" t="s">
        <v>431</v>
      </c>
      <c r="F421" t="s">
        <v>2801</v>
      </c>
      <c r="G421" s="14" t="s">
        <v>2710</v>
      </c>
      <c r="H421" s="14">
        <v>1823</v>
      </c>
      <c r="J421" t="str">
        <f>HYPERLINK("https://jicheng.tw/tcm/book/%e8%ad%89%e6%b2%bb%e9%87%9d%e7%b6%93/index.html")</f>
        <v>https://jicheng.tw/tcm/book/%e8%ad%89%e6%b2%bb%e9%87%9d%e7%b6%93/index.html</v>
      </c>
    </row>
    <row r="422" spans="1:10">
      <c r="A422" s="10" t="s">
        <v>1649</v>
      </c>
      <c r="B422" s="10"/>
      <c r="C422" s="10"/>
      <c r="D422" t="s">
        <v>432</v>
      </c>
      <c r="E422" t="s">
        <v>432</v>
      </c>
      <c r="F422" t="s">
        <v>2802</v>
      </c>
      <c r="G422" s="14" t="s">
        <v>2710</v>
      </c>
      <c r="H422" s="14">
        <v>1898</v>
      </c>
      <c r="J422" t="str">
        <f>HYPERLINK("https://jicheng.tw/tcm/book/%e8%84%88%e5%ba%a6%e9%81%8b%e8%a1%8c%e8%80%83/index.html")</f>
        <v>https://jicheng.tw/tcm/book/%e8%84%88%e5%ba%a6%e9%81%8b%e8%a1%8c%e8%80%83/index.html</v>
      </c>
    </row>
    <row r="423" spans="1:10">
      <c r="A423" s="10" t="s">
        <v>1649</v>
      </c>
      <c r="B423" s="10"/>
      <c r="C423" s="10"/>
      <c r="D423" t="s">
        <v>1691</v>
      </c>
      <c r="E423" t="s">
        <v>433</v>
      </c>
      <c r="F423" t="s">
        <v>2803</v>
      </c>
      <c r="J423" t="str">
        <f>HYPERLINK("https://jicheng.tw/tcm/book/%e9%87%9d%e7%81%b8%e5%ad%b8%e7%b6%b1%e8%a6%81/index.html")</f>
        <v>https://jicheng.tw/tcm/book/%e9%87%9d%e7%81%b8%e5%ad%b8%e7%b6%b1%e8%a6%81/index.html</v>
      </c>
    </row>
    <row r="424" spans="1:10">
      <c r="A424" s="10" t="s">
        <v>1649</v>
      </c>
      <c r="B424" s="10"/>
      <c r="C424" s="10"/>
      <c r="D424" t="s">
        <v>434</v>
      </c>
      <c r="E424" t="s">
        <v>434</v>
      </c>
      <c r="F424" t="s">
        <v>2804</v>
      </c>
      <c r="G424" s="14" t="s">
        <v>2743</v>
      </c>
      <c r="H424" s="14">
        <v>1618</v>
      </c>
      <c r="J424" t="str">
        <f>HYPERLINK("https://jicheng.tw/tcm/book/%e9%87%9d%e6%96%b9%e5%85%ad%e9%9b%86/index.html")</f>
        <v>https://jicheng.tw/tcm/book/%e9%87%9d%e6%96%b9%e5%85%ad%e9%9b%86/index.html</v>
      </c>
    </row>
    <row r="425" spans="1:10">
      <c r="A425" s="10" t="s">
        <v>1649</v>
      </c>
      <c r="B425" s="10"/>
      <c r="C425" s="10"/>
      <c r="D425" t="s">
        <v>1692</v>
      </c>
      <c r="E425" t="s">
        <v>435</v>
      </c>
      <c r="F425" t="s">
        <v>2805</v>
      </c>
      <c r="J425" t="str">
        <f>HYPERLINK("https://jicheng.tw/tcm/book/%e9%87%9d%e5%ad%b8%e9%80%9a%e8%ab%96/index.html")</f>
        <v>https://jicheng.tw/tcm/book/%e9%87%9d%e5%ad%b8%e9%80%9a%e8%ab%96/index.html</v>
      </c>
    </row>
    <row r="426" spans="1:10">
      <c r="A426" s="10" t="s">
        <v>1649</v>
      </c>
      <c r="B426" s="10"/>
      <c r="C426" s="10"/>
      <c r="D426" t="s">
        <v>1693</v>
      </c>
      <c r="E426" t="s">
        <v>436</v>
      </c>
      <c r="F426" t="s">
        <v>2806</v>
      </c>
      <c r="G426" s="14" t="s">
        <v>2710</v>
      </c>
      <c r="H426" s="14">
        <v>1810</v>
      </c>
      <c r="J426" t="str">
        <f>HYPERLINK("https://jicheng.tw/tcm/book/%e7%b6%93%e7%a9%b4%e7%ba%82%e8%a6%81/index.html")</f>
        <v>https://jicheng.tw/tcm/book/%e7%b6%93%e7%a9%b4%e7%ba%82%e8%a6%81/index.html</v>
      </c>
    </row>
    <row r="427" spans="1:10">
      <c r="A427" s="10" t="s">
        <v>1649</v>
      </c>
      <c r="B427" s="10"/>
      <c r="C427" s="10"/>
      <c r="D427" t="s">
        <v>1694</v>
      </c>
      <c r="E427" t="s">
        <v>437</v>
      </c>
      <c r="F427" t="s">
        <v>2807</v>
      </c>
      <c r="G427" s="14" t="s">
        <v>2710</v>
      </c>
      <c r="H427" s="14">
        <v>1671</v>
      </c>
      <c r="J427" t="str">
        <f>HYPERLINK("https://jicheng.tw/tcm/book/%e8%ba%ab%e7%b6%93%e9%80%9a%e8%80%83/index.html")</f>
        <v>https://jicheng.tw/tcm/book/%e8%ba%ab%e7%b6%93%e9%80%9a%e8%80%83/index.html</v>
      </c>
    </row>
    <row r="428" spans="1:10">
      <c r="A428" s="10" t="s">
        <v>1649</v>
      </c>
      <c r="B428" s="10"/>
      <c r="C428" s="10"/>
      <c r="D428" t="s">
        <v>1695</v>
      </c>
      <c r="E428" t="s">
        <v>438</v>
      </c>
      <c r="F428" t="s">
        <v>2808</v>
      </c>
      <c r="G428" s="14" t="s">
        <v>2809</v>
      </c>
      <c r="H428" s="14">
        <v>1153</v>
      </c>
      <c r="J428" t="str">
        <f>HYPERLINK("https://jicheng.tw/tcm/book/%e5%ad%90%e5%8d%88%e6%b5%81%e6%b3%a8%e9%87%9d%e7%b6%93/index.html")</f>
        <v>https://jicheng.tw/tcm/book/%e5%ad%90%e5%8d%88%e6%b5%81%e6%b3%a8%e9%87%9d%e7%b6%93/index.html</v>
      </c>
    </row>
    <row r="429" spans="1:10">
      <c r="A429" s="10" t="s">
        <v>1649</v>
      </c>
      <c r="B429" s="10"/>
      <c r="C429" s="10"/>
      <c r="D429" t="s">
        <v>439</v>
      </c>
      <c r="E429" t="s">
        <v>439</v>
      </c>
      <c r="F429" t="s">
        <v>2810</v>
      </c>
      <c r="G429" s="14" t="s">
        <v>2729</v>
      </c>
      <c r="H429" s="14">
        <v>1128</v>
      </c>
      <c r="J429" t="str">
        <f>HYPERLINK("https://jicheng.tw/tcm/book/%e7%81%b8%e8%86%8f%e8%82%93%e8%85%a7%e7%a9%b4%e6%b3%95/index.html")</f>
        <v>https://jicheng.tw/tcm/book/%e7%81%b8%e8%86%8f%e8%82%93%e8%85%a7%e7%a9%b4%e6%b3%95/index.html</v>
      </c>
    </row>
    <row r="430" spans="1:10">
      <c r="A430" s="10" t="s">
        <v>1649</v>
      </c>
      <c r="B430" s="10"/>
      <c r="C430" s="10"/>
      <c r="D430" t="s">
        <v>1696</v>
      </c>
      <c r="E430" t="s">
        <v>440</v>
      </c>
      <c r="F430" t="s">
        <v>2811</v>
      </c>
      <c r="G430" s="14" t="s">
        <v>2710</v>
      </c>
      <c r="H430" s="14">
        <v>1883</v>
      </c>
      <c r="J430" t="str">
        <f>HYPERLINK("https://jicheng.tw/tcm/book/%e7%81%b8%e6%b3%95%e7%a7%98%e5%82%b3/index.html")</f>
        <v>https://jicheng.tw/tcm/book/%e7%81%b8%e6%b3%95%e7%a7%98%e5%82%b3/index.html</v>
      </c>
    </row>
    <row r="431" spans="1:10">
      <c r="A431" s="10" t="s">
        <v>1649</v>
      </c>
      <c r="B431" s="10"/>
      <c r="C431" s="10"/>
      <c r="D431" t="s">
        <v>1697</v>
      </c>
      <c r="E431" t="s">
        <v>441</v>
      </c>
      <c r="F431" t="s">
        <v>2808</v>
      </c>
      <c r="G431" s="14" t="s">
        <v>2809</v>
      </c>
      <c r="J431" t="str">
        <f>HYPERLINK("https://jicheng.tw/tcm/book/%e5%ad%90%e5%8d%88%e6%b5%81%e6%b3%a8%e8%aa%aa%e9%9b%a3/index.html")</f>
        <v>https://jicheng.tw/tcm/book/%e5%ad%90%e5%8d%88%e6%b5%81%e6%b3%a8%e8%aa%aa%e9%9b%a3/index.html</v>
      </c>
    </row>
    <row r="432" spans="1:10">
      <c r="A432" s="10" t="s">
        <v>1649</v>
      </c>
      <c r="B432" s="10"/>
      <c r="C432" s="10"/>
      <c r="D432" t="s">
        <v>442</v>
      </c>
      <c r="E432" t="s">
        <v>442</v>
      </c>
      <c r="F432" t="s">
        <v>2812</v>
      </c>
      <c r="G432" s="14" t="s">
        <v>2729</v>
      </c>
      <c r="J432" t="str">
        <f>HYPERLINK("https://jicheng.tw/tcm/book/%e5%ae%8b%e6%9c%ac%e5%82%99%e6%80%a5%e7%81%b8%e6%b3%95/index.html")</f>
        <v>https://jicheng.tw/tcm/book/%e5%ae%8b%e6%9c%ac%e5%82%99%e6%80%a5%e7%81%b8%e6%b3%95/index.html</v>
      </c>
    </row>
    <row r="433" spans="1:10">
      <c r="A433" s="10" t="s">
        <v>1649</v>
      </c>
      <c r="B433" s="10"/>
      <c r="C433" s="10"/>
      <c r="D433" t="s">
        <v>1698</v>
      </c>
      <c r="E433" t="s">
        <v>443</v>
      </c>
      <c r="F433" t="s">
        <v>2813</v>
      </c>
      <c r="G433" s="14" t="s">
        <v>2710</v>
      </c>
      <c r="H433" s="14">
        <v>1851</v>
      </c>
      <c r="J433" t="str">
        <f>HYPERLINK("https://jicheng.tw/tcm/book/%e7%a5%9e%e7%81%b8%e7%b6%93%e7%b6%b8/index.html")</f>
        <v>https://jicheng.tw/tcm/book/%e7%a5%9e%e7%81%b8%e7%b6%93%e7%b6%b8/index.html</v>
      </c>
    </row>
    <row r="434" spans="1:10">
      <c r="A434" s="10" t="s">
        <v>1649</v>
      </c>
      <c r="B434" s="10"/>
      <c r="C434" s="10"/>
      <c r="D434" t="s">
        <v>444</v>
      </c>
      <c r="E434" t="s">
        <v>444</v>
      </c>
      <c r="F434" t="s">
        <v>2814</v>
      </c>
      <c r="G434" s="14" t="s">
        <v>2710</v>
      </c>
      <c r="J434" t="str">
        <f>HYPERLINK("https://jicheng.tw/tcm/book/%e6%a5%8a%e6%88%90%e5%8d%9a%e5%85%88%e7%94%9f%e9%81%ba%e7%95%99%e7%a9%b4%e9%81%93%e7%a7%98%e6%9b%b8/index.html")</f>
        <v>https://jicheng.tw/tcm/book/%e6%a5%8a%e6%88%90%e5%8d%9a%e5%85%88%e7%94%9f%e9%81%ba%e7%95%99%e7%a9%b4%e9%81%93%e7%a7%98%e6%9b%b8/index.html</v>
      </c>
    </row>
    <row r="435" spans="1:10">
      <c r="A435" s="10" t="s">
        <v>1649</v>
      </c>
      <c r="B435" s="10"/>
      <c r="C435" s="10"/>
      <c r="D435" t="s">
        <v>445</v>
      </c>
      <c r="E435" t="s">
        <v>445</v>
      </c>
      <c r="F435" t="s">
        <v>2815</v>
      </c>
      <c r="J435" t="str">
        <f>HYPERLINK("https://jicheng.tw/tcm/book/%e9%81%b8%e9%87%9d%e4%b8%89%e8%a6%81%e9%9b%86/index.html")</f>
        <v>https://jicheng.tw/tcm/book/%e9%81%b8%e9%87%9d%e4%b8%89%e8%a6%81%e9%9b%86/index.html</v>
      </c>
    </row>
    <row r="436" spans="1:10">
      <c r="A436" s="10" t="s">
        <v>1649</v>
      </c>
      <c r="B436" s="10"/>
      <c r="C436" s="10"/>
      <c r="D436" t="s">
        <v>446</v>
      </c>
      <c r="E436" t="s">
        <v>446</v>
      </c>
      <c r="F436" t="s">
        <v>2816</v>
      </c>
      <c r="G436" s="14" t="s">
        <v>2740</v>
      </c>
      <c r="H436" s="14">
        <v>1928</v>
      </c>
      <c r="J436" t="str">
        <f>HYPERLINK("https://jicheng.tw/tcm/book/%e6%8e%a8%e6%8b%bf%e6%8a%89%e5%be%ae/index.html")</f>
        <v>https://jicheng.tw/tcm/book/%e6%8e%a8%e6%8b%bf%e6%8a%89%e5%be%ae/index.html</v>
      </c>
    </row>
    <row r="437" spans="1:10">
      <c r="A437" s="10" t="s">
        <v>1649</v>
      </c>
      <c r="B437" s="10"/>
      <c r="C437" s="10"/>
      <c r="D437" t="s">
        <v>447</v>
      </c>
      <c r="E437" t="s">
        <v>447</v>
      </c>
      <c r="F437" t="s">
        <v>2817</v>
      </c>
      <c r="G437" s="14" t="s">
        <v>2710</v>
      </c>
      <c r="H437" s="14">
        <v>1888</v>
      </c>
      <c r="J437" t="str">
        <f>HYPERLINK("https://jicheng.tw/tcm/book/%e9%87%90%e6%ad%a3%e6%8c%89%e6%91%a9%e8%a6%81%e8%a1%93/index.html")</f>
        <v>https://jicheng.tw/tcm/book/%e9%87%90%e6%ad%a3%e6%8c%89%e6%91%a9%e8%a6%81%e8%a1%93/index.html</v>
      </c>
    </row>
    <row r="438" spans="1:10">
      <c r="A438" s="10" t="s">
        <v>1649</v>
      </c>
      <c r="B438" s="10"/>
      <c r="C438" s="10"/>
      <c r="D438" t="s">
        <v>1699</v>
      </c>
      <c r="E438" t="s">
        <v>448</v>
      </c>
      <c r="J438" t="str">
        <f>HYPERLINK("https://jicheng.tw/tcm/book/%e9%8a%85%e4%ba%ba%e9%87%9d%e7%81%b8%e7%b6%93/index.html")</f>
        <v>https://jicheng.tw/tcm/book/%e9%8a%85%e4%ba%ba%e9%87%9d%e7%81%b8%e7%b6%93/index.html</v>
      </c>
    </row>
    <row r="439" spans="1:10">
      <c r="A439" s="10" t="s">
        <v>1649</v>
      </c>
      <c r="B439" s="10"/>
      <c r="C439" s="10"/>
      <c r="D439" t="s">
        <v>1700</v>
      </c>
      <c r="E439" t="s">
        <v>449</v>
      </c>
      <c r="F439" t="s">
        <v>2818</v>
      </c>
      <c r="G439" s="14" t="s">
        <v>2729</v>
      </c>
      <c r="H439" s="14">
        <v>1026</v>
      </c>
      <c r="J439" t="str">
        <f>HYPERLINK("https://jicheng.tw/tcm/book/%e9%8a%85%e4%ba%ba%e8%85%a7%e7%a9%b4%e9%87%9d%e7%81%b8%e5%9c%96%e7%b6%93/index.html")</f>
        <v>https://jicheng.tw/tcm/book/%e9%8a%85%e4%ba%ba%e8%85%a7%e7%a9%b4%e9%87%9d%e7%81%b8%e5%9c%96%e7%b6%93/index.html</v>
      </c>
    </row>
    <row r="440" spans="1:10">
      <c r="A440" s="10" t="s">
        <v>1649</v>
      </c>
      <c r="B440" s="10"/>
      <c r="C440" s="10"/>
      <c r="D440" t="s">
        <v>1701</v>
      </c>
      <c r="E440" t="s">
        <v>450</v>
      </c>
      <c r="F440" t="s">
        <v>2819</v>
      </c>
      <c r="G440" s="14" t="s">
        <v>2809</v>
      </c>
      <c r="H440" s="14">
        <v>1186</v>
      </c>
      <c r="J440" t="str">
        <f>HYPERLINK("https://jicheng.tw/tcm/book/%e6%96%b0%e5%88%8a%e8%a3%9c%e8%a8%bb%e9%8a%85%e4%ba%ba%e8%85%a7%e7%a9%b4%e9%87%9d%e7%81%b8%e5%9c%96%e7%b6%93/index.html")</f>
        <v>https://jicheng.tw/tcm/book/%e6%96%b0%e5%88%8a%e8%a3%9c%e8%a8%bb%e9%8a%85%e4%ba%ba%e8%85%a7%e7%a9%b4%e9%87%9d%e7%81%b8%e5%9c%96%e7%b6%93/index.html</v>
      </c>
    </row>
    <row r="441" spans="1:10">
      <c r="A441" s="10" t="s">
        <v>451</v>
      </c>
      <c r="B441" s="10" t="s">
        <v>452</v>
      </c>
      <c r="C441" s="10"/>
      <c r="D441" t="s">
        <v>453</v>
      </c>
      <c r="E441" t="s">
        <v>453</v>
      </c>
      <c r="F441" t="s">
        <v>2820</v>
      </c>
      <c r="G441" s="14" t="s">
        <v>2597</v>
      </c>
      <c r="H441" s="14" t="s">
        <v>2696</v>
      </c>
      <c r="J441" s="4" t="str">
        <f>HYPERLINK("https://jicheng.tw/tcm/book/%E5%82%B7%E5%AF%92%E8%AB%96%EF%BC%88%E5%AE%8B%E6%9C%AC%EF%BC%89/index.html")</f>
        <v>https://jicheng.tw/tcm/book/%E5%82%B7%E5%AF%92%E8%AB%96%EF%BC%88%E5%AE%8B%E6%9C%AC%EF%BC%89/index.html</v>
      </c>
    </row>
    <row r="442" spans="1:10">
      <c r="A442" s="10" t="s">
        <v>451</v>
      </c>
      <c r="B442" s="10" t="s">
        <v>452</v>
      </c>
      <c r="C442" s="10"/>
      <c r="D442" t="s">
        <v>2340</v>
      </c>
      <c r="E442" t="s">
        <v>454</v>
      </c>
      <c r="F442" t="s">
        <v>2821</v>
      </c>
      <c r="G442" s="14" t="s">
        <v>2597</v>
      </c>
      <c r="H442" s="14" t="s">
        <v>2696</v>
      </c>
      <c r="J442" s="4" t="str">
        <f>HYPERLINK("https://jicheng.tw/tcm/book/%E5%82%B7%E5%AF%92%E9%9B%9C%E7%97%85%E8%AB%96%EF%BC%88%E6%A1%82%E6%9E%97%E5%8F%A4%E6%9C%AC%EF%BC%89/index.html")</f>
        <v>https://jicheng.tw/tcm/book/%E5%82%B7%E5%AF%92%E9%9B%9C%E7%97%85%E8%AB%96%EF%BC%88%E6%A1%82%E6%9E%97%E5%8F%A4%E6%9C%AC%EF%BC%89/index.html</v>
      </c>
    </row>
    <row r="443" spans="1:10">
      <c r="A443" s="10" t="s">
        <v>451</v>
      </c>
      <c r="B443" s="10" t="s">
        <v>452</v>
      </c>
      <c r="C443" s="10"/>
      <c r="D443" t="s">
        <v>455</v>
      </c>
      <c r="E443" t="s">
        <v>455</v>
      </c>
      <c r="F443" t="s">
        <v>2822</v>
      </c>
      <c r="G443" s="14" t="s">
        <v>2597</v>
      </c>
      <c r="H443" s="14" t="s">
        <v>2696</v>
      </c>
      <c r="J443" t="str">
        <f>HYPERLINK("https://jicheng.tw/tcm/book/%e5%8f%a4%e6%9c%ac%e5%ba%b7%e5%b9%b3%e5%82%b7%e5%af%92%e8%ab%96/index.html")</f>
        <v>https://jicheng.tw/tcm/book/%e5%8f%a4%e6%9c%ac%e5%ba%b7%e5%b9%b3%e5%82%b7%e5%af%92%e8%ab%96/index.html</v>
      </c>
    </row>
    <row r="444" spans="1:10">
      <c r="A444" s="10" t="s">
        <v>451</v>
      </c>
      <c r="B444" s="10" t="s">
        <v>452</v>
      </c>
      <c r="C444" s="10"/>
      <c r="D444" t="s">
        <v>1702</v>
      </c>
      <c r="E444" t="s">
        <v>456</v>
      </c>
      <c r="F444" t="s">
        <v>2823</v>
      </c>
      <c r="G444" s="14" t="s">
        <v>2697</v>
      </c>
      <c r="J444" t="str">
        <f>HYPERLINK("https://jicheng.tw/tcm/book/%e5%82%b7%e5%af%92%e9%9b%9c%e7%97%85%e8%ab%96%e9%9b%86%e8%a7%a3/index.html")</f>
        <v>https://jicheng.tw/tcm/book/%e5%82%b7%e5%af%92%e9%9b%9c%e7%97%85%e8%ab%96%e9%9b%86%e8%a7%a3/index.html</v>
      </c>
    </row>
    <row r="445" spans="1:10">
      <c r="A445" s="10" t="s">
        <v>451</v>
      </c>
      <c r="B445" s="10" t="s">
        <v>452</v>
      </c>
      <c r="C445" s="10"/>
      <c r="D445" t="s">
        <v>457</v>
      </c>
      <c r="E445" t="s">
        <v>457</v>
      </c>
      <c r="F445" t="s">
        <v>2824</v>
      </c>
      <c r="G445" s="14" t="s">
        <v>2825</v>
      </c>
      <c r="H445" s="14">
        <v>1144</v>
      </c>
      <c r="J445" t="str">
        <f>HYPERLINK("https://jicheng.tw/tcm/book/%e8%a8%bb%e8%a7%a3%e5%82%b7%e5%af%92%e8%ab%96/index.html")</f>
        <v>https://jicheng.tw/tcm/book/%e8%a8%bb%e8%a7%a3%e5%82%b7%e5%af%92%e8%ab%96/index.html</v>
      </c>
    </row>
    <row r="446" spans="1:10">
      <c r="A446" s="10" t="s">
        <v>451</v>
      </c>
      <c r="B446" s="10" t="s">
        <v>452</v>
      </c>
      <c r="C446" s="10"/>
      <c r="D446" t="s">
        <v>458</v>
      </c>
      <c r="E446" t="s">
        <v>458</v>
      </c>
      <c r="F446" t="s">
        <v>2826</v>
      </c>
      <c r="G446" s="14" t="s">
        <v>2827</v>
      </c>
      <c r="H446" s="14">
        <v>1644</v>
      </c>
      <c r="J446" t="str">
        <f>HYPERLINK("https://jicheng.tw/tcm/book/%e5%bc%b5%e5%8d%bf%e5%ad%90%e5%82%b7%e5%af%92%e8%ab%96/index.html")</f>
        <v>https://jicheng.tw/tcm/book/%e5%bc%b5%e5%8d%bf%e5%ad%90%e5%82%b7%e5%af%92%e8%ab%96/index.html</v>
      </c>
    </row>
    <row r="447" spans="1:10">
      <c r="A447" s="10" t="s">
        <v>451</v>
      </c>
      <c r="B447" s="10" t="s">
        <v>452</v>
      </c>
      <c r="C447" s="10"/>
      <c r="D447" t="s">
        <v>459</v>
      </c>
      <c r="E447" t="s">
        <v>459</v>
      </c>
      <c r="F447" t="s">
        <v>2828</v>
      </c>
      <c r="G447" s="14" t="s">
        <v>2827</v>
      </c>
      <c r="H447" s="14">
        <v>1674</v>
      </c>
      <c r="J447" t="str">
        <f>HYPERLINK("https://jicheng.tw/tcm/book/%e5%82%b7%e5%af%92%e8%ab%96%e7%bf%bc/index.html")</f>
        <v>https://jicheng.tw/tcm/book/%e5%82%b7%e5%af%92%e8%ab%96%e7%bf%bc/index.html</v>
      </c>
    </row>
    <row r="448" spans="1:10">
      <c r="A448" s="10" t="s">
        <v>451</v>
      </c>
      <c r="B448" s="10" t="s">
        <v>452</v>
      </c>
      <c r="C448" s="10"/>
      <c r="D448" t="s">
        <v>460</v>
      </c>
      <c r="E448" t="s">
        <v>460</v>
      </c>
      <c r="F448" t="s">
        <v>2829</v>
      </c>
      <c r="G448" s="14" t="s">
        <v>2830</v>
      </c>
      <c r="H448" s="14">
        <v>1086</v>
      </c>
      <c r="J448" t="str">
        <f>HYPERLINK("https://jicheng.tw/tcm/book/%e5%82%b7%e5%af%92%e5%be%ae%e6%97%a8%e8%ab%96/index.html")</f>
        <v>https://jicheng.tw/tcm/book/%e5%82%b7%e5%af%92%e5%be%ae%e6%97%a8%e8%ab%96/index.html</v>
      </c>
    </row>
    <row r="449" spans="1:10">
      <c r="A449" s="10" t="s">
        <v>451</v>
      </c>
      <c r="B449" s="10" t="s">
        <v>452</v>
      </c>
      <c r="C449" s="10"/>
      <c r="D449" t="s">
        <v>461</v>
      </c>
      <c r="E449" t="s">
        <v>461</v>
      </c>
      <c r="F449" t="s">
        <v>2831</v>
      </c>
      <c r="G449" s="14" t="s">
        <v>2825</v>
      </c>
      <c r="H449" s="14">
        <v>1186</v>
      </c>
      <c r="J449" t="str">
        <f>HYPERLINK("https://jicheng.tw/tcm/book/%e5%82%b7%e5%af%92%e6%a8%99%e6%9c%ac%e5%bf%83%e6%b3%95%e9%a1%9e%e8%90%83/index.html")</f>
        <v>https://jicheng.tw/tcm/book/%e5%82%b7%e5%af%92%e6%a8%99%e6%9c%ac%e5%bf%83%e6%b3%95%e9%a1%9e%e8%90%83/index.html</v>
      </c>
    </row>
    <row r="450" spans="1:10">
      <c r="A450" s="10" t="s">
        <v>451</v>
      </c>
      <c r="B450" s="10" t="s">
        <v>452</v>
      </c>
      <c r="C450" s="10"/>
      <c r="D450" t="s">
        <v>462</v>
      </c>
      <c r="E450" t="s">
        <v>462</v>
      </c>
      <c r="F450" t="s">
        <v>2831</v>
      </c>
      <c r="G450" s="14" t="s">
        <v>2825</v>
      </c>
      <c r="J450" t="str">
        <f>HYPERLINK("https://jicheng.tw/tcm/book/%e5%82%b7%e5%af%92%e6%a8%99%e6%9c%ac%e5%bf%83%e6%b3%95%e9%a1%9e%e8%90%83%5f%31/index.html")</f>
        <v>https://jicheng.tw/tcm/book/%e5%82%b7%e5%af%92%e6%a8%99%e6%9c%ac%e5%bf%83%e6%b3%95%e9%a1%9e%e8%90%83%5f%31/index.html</v>
      </c>
    </row>
    <row r="451" spans="1:10">
      <c r="A451" s="10" t="s">
        <v>451</v>
      </c>
      <c r="B451" s="10" t="s">
        <v>452</v>
      </c>
      <c r="C451" s="10"/>
      <c r="D451" t="s">
        <v>1703</v>
      </c>
      <c r="E451" t="s">
        <v>463</v>
      </c>
      <c r="F451" t="s">
        <v>2832</v>
      </c>
      <c r="G451" s="14" t="s">
        <v>2830</v>
      </c>
      <c r="H451" s="14">
        <v>1118</v>
      </c>
      <c r="J451" t="str">
        <f>HYPERLINK("https://jicheng.tw/tcm/book/%e9%a1%9e%e8%ad%89%e6%b4%bb%e4%ba%ba%e6%9b%b8/index.html")</f>
        <v>https://jicheng.tw/tcm/book/%e9%a1%9e%e8%ad%89%e6%b4%bb%e4%ba%ba%e6%9b%b8/index.html</v>
      </c>
    </row>
    <row r="452" spans="1:10">
      <c r="A452" s="10" t="s">
        <v>451</v>
      </c>
      <c r="B452" s="10" t="s">
        <v>452</v>
      </c>
      <c r="C452" s="10"/>
      <c r="D452" t="s">
        <v>1704</v>
      </c>
      <c r="E452" t="s">
        <v>464</v>
      </c>
      <c r="F452" t="s">
        <v>2832</v>
      </c>
      <c r="G452" s="14" t="s">
        <v>2830</v>
      </c>
      <c r="J452" t="str">
        <f>HYPERLINK("https://jicheng.tw/tcm/book/%e9%a1%9e%e8%ad%89%e6%b4%bb%e4%ba%ba%e6%9b%b8%5f%31/index.html")</f>
        <v>https://jicheng.tw/tcm/book/%e9%a1%9e%e8%ad%89%e6%b4%bb%e4%ba%ba%e6%9b%b8%5f%31/index.html</v>
      </c>
    </row>
    <row r="453" spans="1:10">
      <c r="A453" s="10" t="s">
        <v>451</v>
      </c>
      <c r="B453" s="10" t="s">
        <v>452</v>
      </c>
      <c r="C453" s="10"/>
      <c r="D453" t="s">
        <v>465</v>
      </c>
      <c r="E453" t="s">
        <v>465</v>
      </c>
      <c r="F453" t="s">
        <v>2831</v>
      </c>
      <c r="G453" s="14" t="s">
        <v>2825</v>
      </c>
      <c r="H453" s="14" t="s">
        <v>2698</v>
      </c>
      <c r="J453" t="str">
        <f>HYPERLINK("https://jicheng.tw/tcm/book/%e5%82%b7%e5%af%92%e7%9b%b4%e6%a0%bc/index.html")</f>
        <v>https://jicheng.tw/tcm/book/%e5%82%b7%e5%af%92%e7%9b%b4%e6%a0%bc/index.html</v>
      </c>
    </row>
    <row r="454" spans="1:10">
      <c r="A454" s="10" t="s">
        <v>451</v>
      </c>
      <c r="B454" s="10" t="s">
        <v>452</v>
      </c>
      <c r="C454" s="10"/>
      <c r="D454" t="s">
        <v>466</v>
      </c>
      <c r="E454" t="s">
        <v>466</v>
      </c>
      <c r="F454" t="s">
        <v>2831</v>
      </c>
      <c r="G454" s="14" t="s">
        <v>2825</v>
      </c>
      <c r="J454" t="str">
        <f>HYPERLINK("https://jicheng.tw/tcm/book/%e5%82%b7%e5%af%92%e7%9b%b4%e6%a0%bc%5f%31/index.html")</f>
        <v>https://jicheng.tw/tcm/book/%e5%82%b7%e5%af%92%e7%9b%b4%e6%a0%bc%5f%31/index.html</v>
      </c>
    </row>
    <row r="455" spans="1:10">
      <c r="A455" s="10" t="s">
        <v>451</v>
      </c>
      <c r="B455" s="10" t="s">
        <v>452</v>
      </c>
      <c r="C455" s="10"/>
      <c r="D455" t="s">
        <v>1705</v>
      </c>
      <c r="E455" t="s">
        <v>467</v>
      </c>
      <c r="F455" t="s">
        <v>2833</v>
      </c>
      <c r="G455" s="14" t="s">
        <v>2827</v>
      </c>
      <c r="H455" s="14">
        <v>1707</v>
      </c>
      <c r="J455" t="str">
        <f>HYPERLINK("https://jicheng.tw/tcm/book/%e5%82%b7%e5%af%92%e6%ba%af%e6%ba%90%e9%9b%86/index.html")</f>
        <v>https://jicheng.tw/tcm/book/%e5%82%b7%e5%af%92%e6%ba%af%e6%ba%90%e9%9b%86/index.html</v>
      </c>
    </row>
    <row r="456" spans="1:10">
      <c r="A456" s="10" t="s">
        <v>451</v>
      </c>
      <c r="B456" s="10" t="s">
        <v>452</v>
      </c>
      <c r="C456" s="10"/>
      <c r="D456" t="s">
        <v>1706</v>
      </c>
      <c r="E456" t="s">
        <v>468</v>
      </c>
      <c r="F456" t="s">
        <v>2828</v>
      </c>
      <c r="G456" s="14" t="s">
        <v>2827</v>
      </c>
      <c r="H456" s="14">
        <v>1669</v>
      </c>
      <c r="J456" t="str">
        <f>HYPERLINK("https://jicheng.tw/tcm/book/%e5%82%b7%e5%af%92%e4%be%86%e8%98%87%e9%9b%86/index.html")</f>
        <v>https://jicheng.tw/tcm/book/%e5%82%b7%e5%af%92%e4%be%86%e8%98%87%e9%9b%86/index.html</v>
      </c>
    </row>
    <row r="457" spans="1:10">
      <c r="A457" s="10" t="s">
        <v>451</v>
      </c>
      <c r="B457" s="10" t="s">
        <v>452</v>
      </c>
      <c r="C457" s="10"/>
      <c r="D457" t="s">
        <v>1707</v>
      </c>
      <c r="E457" t="s">
        <v>469</v>
      </c>
      <c r="F457" t="s">
        <v>2828</v>
      </c>
      <c r="G457" s="14" t="s">
        <v>2827</v>
      </c>
      <c r="H457" s="14">
        <v>1669</v>
      </c>
      <c r="J457" t="str">
        <f>HYPERLINK("https://jicheng.tw/tcm/book/%e5%82%b7%e5%af%92%e8%ab%96%e8%a8%bb%e4%be%86%e8%98%87%e9%9b%86/index.html")</f>
        <v>https://jicheng.tw/tcm/book/%e5%82%b7%e5%af%92%e8%ab%96%e8%a8%bb%e4%be%86%e8%98%87%e9%9b%86/index.html</v>
      </c>
    </row>
    <row r="458" spans="1:10">
      <c r="A458" s="10" t="s">
        <v>451</v>
      </c>
      <c r="B458" s="10" t="s">
        <v>452</v>
      </c>
      <c r="C458" s="10"/>
      <c r="D458" t="s">
        <v>1708</v>
      </c>
      <c r="E458" t="s">
        <v>470</v>
      </c>
      <c r="F458" t="s">
        <v>2834</v>
      </c>
      <c r="G458" s="14" t="s">
        <v>2835</v>
      </c>
      <c r="H458" s="14">
        <v>1592</v>
      </c>
      <c r="J458" t="str">
        <f>HYPERLINK("https://jicheng.tw/tcm/book/%e5%82%b7%e5%af%92%e8%ab%96%e6%a2%9d%e8%be%a8/index.html")</f>
        <v>https://jicheng.tw/tcm/book/%e5%82%b7%e5%af%92%e8%ab%96%e6%a2%9d%e8%be%a8/index.html</v>
      </c>
    </row>
    <row r="459" spans="1:10">
      <c r="A459" s="10" t="s">
        <v>451</v>
      </c>
      <c r="B459" s="10" t="s">
        <v>452</v>
      </c>
      <c r="C459" s="10"/>
      <c r="D459" t="s">
        <v>1709</v>
      </c>
      <c r="E459" t="s">
        <v>471</v>
      </c>
      <c r="F459" t="s">
        <v>2834</v>
      </c>
      <c r="G459" s="14" t="s">
        <v>2835</v>
      </c>
      <c r="H459" s="14">
        <v>1592</v>
      </c>
      <c r="J459" t="str">
        <f>HYPERLINK("https://jicheng.tw/tcm/book/%e5%82%b7%e5%af%92%e8%ab%96%e6%a2%9d%e8%be%a8%5f%31/index.html")</f>
        <v>https://jicheng.tw/tcm/book/%e5%82%b7%e5%af%92%e8%ab%96%e6%a2%9d%e8%be%a8%5f%31/index.html</v>
      </c>
    </row>
    <row r="460" spans="1:10">
      <c r="A460" s="10" t="s">
        <v>451</v>
      </c>
      <c r="B460" s="10" t="s">
        <v>452</v>
      </c>
      <c r="C460" s="10"/>
      <c r="D460" t="s">
        <v>472</v>
      </c>
      <c r="E460" t="s">
        <v>472</v>
      </c>
      <c r="F460" t="s">
        <v>2836</v>
      </c>
      <c r="G460" s="14" t="s">
        <v>2827</v>
      </c>
      <c r="H460" s="14">
        <v>1748</v>
      </c>
      <c r="J460" t="str">
        <f>HYPERLINK("https://jicheng.tw/tcm/book/%e5%82%b7%e5%af%92%e6%87%b8%e8%a7%a3/index.html")</f>
        <v>https://jicheng.tw/tcm/book/%e5%82%b7%e5%af%92%e6%87%b8%e8%a7%a3/index.html</v>
      </c>
    </row>
    <row r="461" spans="1:10">
      <c r="A461" s="10" t="s">
        <v>451</v>
      </c>
      <c r="B461" s="10" t="s">
        <v>452</v>
      </c>
      <c r="C461" s="10"/>
      <c r="D461" t="s">
        <v>473</v>
      </c>
      <c r="E461" t="s">
        <v>473</v>
      </c>
      <c r="F461" t="s">
        <v>2837</v>
      </c>
      <c r="G461" s="14" t="s">
        <v>2827</v>
      </c>
      <c r="H461" s="14">
        <v>1774</v>
      </c>
      <c r="J461" t="str">
        <f>HYPERLINK("https://jicheng.tw/tcm/book/%e5%82%b7%e5%af%92%e8%ab%96%e7%b6%b1%e7%9b%ae/index.html")</f>
        <v>https://jicheng.tw/tcm/book/%e5%82%b7%e5%af%92%e8%ab%96%e7%b6%b1%e7%9b%ae/index.html</v>
      </c>
    </row>
    <row r="462" spans="1:10">
      <c r="A462" s="10" t="s">
        <v>451</v>
      </c>
      <c r="B462" s="10" t="s">
        <v>452</v>
      </c>
      <c r="C462" s="10"/>
      <c r="D462" t="s">
        <v>474</v>
      </c>
      <c r="E462" t="s">
        <v>474</v>
      </c>
      <c r="F462" t="s">
        <v>2720</v>
      </c>
      <c r="J462" t="str">
        <f>HYPERLINK("https://jicheng.tw/tcm/book/%e5%82%b7%e5%af%92%e8%ab%96%e8%bc%af%e7%be%a9/index.html")</f>
        <v>https://jicheng.tw/tcm/book/%e5%82%b7%e5%af%92%e8%ab%96%e8%bc%af%e7%be%a9/index.html</v>
      </c>
    </row>
    <row r="463" spans="1:10">
      <c r="A463" s="10" t="s">
        <v>451</v>
      </c>
      <c r="B463" s="10" t="s">
        <v>452</v>
      </c>
      <c r="C463" s="10"/>
      <c r="D463" t="s">
        <v>475</v>
      </c>
      <c r="E463" t="s">
        <v>475</v>
      </c>
      <c r="F463" t="s">
        <v>2838</v>
      </c>
      <c r="G463" s="14" t="s">
        <v>2827</v>
      </c>
      <c r="H463" s="14">
        <v>1729</v>
      </c>
      <c r="J463" t="str">
        <f>HYPERLINK("https://jicheng.tw/tcm/book/%e5%82%b7%e5%af%92%e8%b2%ab%e7%8f%a0%e9%9b%86/index.html")</f>
        <v>https://jicheng.tw/tcm/book/%e5%82%b7%e5%af%92%e8%b2%ab%e7%8f%a0%e9%9b%86/index.html</v>
      </c>
    </row>
    <row r="464" spans="1:10">
      <c r="A464" s="10" t="s">
        <v>451</v>
      </c>
      <c r="B464" s="10" t="s">
        <v>452</v>
      </c>
      <c r="C464" s="10"/>
      <c r="D464" t="s">
        <v>476</v>
      </c>
      <c r="E464" t="s">
        <v>476</v>
      </c>
      <c r="F464" t="s">
        <v>2838</v>
      </c>
      <c r="G464" s="14" t="s">
        <v>2827</v>
      </c>
      <c r="H464" s="14">
        <v>1729</v>
      </c>
      <c r="J464" t="str">
        <f>HYPERLINK("https://jicheng.tw/tcm/book/%e5%82%b7%e5%af%92%e8%b2%ab%e7%8f%a0%e9%9b%86%5f%31/index.html")</f>
        <v>https://jicheng.tw/tcm/book/%e5%82%b7%e5%af%92%e8%b2%ab%e7%8f%a0%e9%9b%86%5f%31/index.html</v>
      </c>
    </row>
    <row r="465" spans="1:10">
      <c r="A465" s="10" t="s">
        <v>451</v>
      </c>
      <c r="B465" s="10" t="s">
        <v>452</v>
      </c>
      <c r="C465" s="10"/>
      <c r="D465" t="s">
        <v>477</v>
      </c>
      <c r="E465" t="s">
        <v>477</v>
      </c>
      <c r="F465" t="s">
        <v>2839</v>
      </c>
      <c r="G465" s="14" t="s">
        <v>2827</v>
      </c>
      <c r="H465" s="14">
        <v>1667</v>
      </c>
      <c r="J465" t="str">
        <f>HYPERLINK("https://jicheng.tw/tcm/book/%e5%82%b7%e5%af%92%e7%ba%98%e8%ab%96/index.html")</f>
        <v>https://jicheng.tw/tcm/book/%e5%82%b7%e5%af%92%e7%ba%98%e8%ab%96/index.html</v>
      </c>
    </row>
    <row r="466" spans="1:10">
      <c r="A466" s="10" t="s">
        <v>451</v>
      </c>
      <c r="B466" s="10" t="s">
        <v>452</v>
      </c>
      <c r="C466" s="10"/>
      <c r="D466" t="s">
        <v>478</v>
      </c>
      <c r="E466" t="s">
        <v>478</v>
      </c>
      <c r="F466" t="s">
        <v>2839</v>
      </c>
      <c r="G466" s="14" t="s">
        <v>2827</v>
      </c>
      <c r="H466" s="14">
        <v>1667</v>
      </c>
      <c r="J466" t="str">
        <f>HYPERLINK("https://jicheng.tw/tcm/book/%e5%82%b7%e5%af%92%e7%ba%98%e8%ab%96%5f%e5%82%b7%e5%af%92%e7%b7%92%e8%ab%96/index.html")</f>
        <v>https://jicheng.tw/tcm/book/%e5%82%b7%e5%af%92%e7%ba%98%e8%ab%96%5f%e5%82%b7%e5%af%92%e7%b7%92%e8%ab%96/index.html</v>
      </c>
    </row>
    <row r="467" spans="1:10">
      <c r="A467" s="10" t="s">
        <v>451</v>
      </c>
      <c r="B467" s="10" t="s">
        <v>452</v>
      </c>
      <c r="C467" s="10"/>
      <c r="D467" t="s">
        <v>479</v>
      </c>
      <c r="E467" t="s">
        <v>479</v>
      </c>
      <c r="F467" t="s">
        <v>2839</v>
      </c>
      <c r="G467" s="14" t="s">
        <v>2827</v>
      </c>
      <c r="H467" s="14">
        <v>1667</v>
      </c>
      <c r="J467" t="str">
        <f>HYPERLINK("https://jicheng.tw/tcm/book/%e5%82%b7%e5%af%92%e7%b7%92%e8%ab%96%5f%31/index.html")</f>
        <v>https://jicheng.tw/tcm/book/%e5%82%b7%e5%af%92%e7%b7%92%e8%ab%96%5f%31/index.html</v>
      </c>
    </row>
    <row r="468" spans="1:10">
      <c r="A468" s="10" t="s">
        <v>451</v>
      </c>
      <c r="B468" s="10" t="s">
        <v>452</v>
      </c>
      <c r="C468" s="10"/>
      <c r="D468" t="s">
        <v>1710</v>
      </c>
      <c r="E468" t="s">
        <v>480</v>
      </c>
      <c r="F468" t="s">
        <v>2782</v>
      </c>
      <c r="G468" s="14" t="s">
        <v>2827</v>
      </c>
      <c r="H468" s="14">
        <v>1742</v>
      </c>
      <c r="J468" s="4" t="s">
        <v>2371</v>
      </c>
    </row>
    <row r="469" spans="1:10">
      <c r="A469" s="10" t="s">
        <v>451</v>
      </c>
      <c r="B469" s="10" t="s">
        <v>452</v>
      </c>
      <c r="C469" s="10"/>
      <c r="D469" t="s">
        <v>1711</v>
      </c>
      <c r="E469" t="s">
        <v>481</v>
      </c>
      <c r="J469" t="str">
        <f>HYPERLINK("https://jicheng.tw/tcm/book/%e5%82%b7%e5%af%92%e7%b6%93%e8%a7%a3/index.html")</f>
        <v>https://jicheng.tw/tcm/book/%e5%82%b7%e5%af%92%e7%b6%93%e8%a7%a3/index.html</v>
      </c>
    </row>
    <row r="470" spans="1:10">
      <c r="A470" s="10" t="s">
        <v>451</v>
      </c>
      <c r="B470" s="10" t="s">
        <v>452</v>
      </c>
      <c r="C470" s="10"/>
      <c r="D470" t="s">
        <v>482</v>
      </c>
      <c r="E470" t="s">
        <v>482</v>
      </c>
      <c r="J470" t="str">
        <f>HYPERLINK("https://jicheng.tw/tcm/book/%e5%82%b7%e5%af%92%e8%ab%96%e5%bd%99%e8%a8%bb%e7%b2%be%e8%8f%af/index.html")</f>
        <v>https://jicheng.tw/tcm/book/%e5%82%b7%e5%af%92%e8%ab%96%e5%bd%99%e8%a8%bb%e7%b2%be%e8%8f%af/index.html</v>
      </c>
    </row>
    <row r="471" spans="1:10">
      <c r="A471" s="10" t="s">
        <v>451</v>
      </c>
      <c r="B471" s="10" t="s">
        <v>452</v>
      </c>
      <c r="C471" s="10"/>
      <c r="D471" t="s">
        <v>483</v>
      </c>
      <c r="E471" t="s">
        <v>483</v>
      </c>
      <c r="F471" t="s">
        <v>2840</v>
      </c>
      <c r="G471" s="14" t="s">
        <v>2827</v>
      </c>
      <c r="H471" s="14">
        <v>1789</v>
      </c>
      <c r="J471" t="str">
        <f>HYPERLINK("https://jicheng.tw/tcm/book/%e5%82%b7%e5%af%92%e8%ab%96%e9%9b%86%e6%88%90/index.html")</f>
        <v>https://jicheng.tw/tcm/book/%e5%82%b7%e5%af%92%e8%ab%96%e9%9b%86%e6%88%90/index.html</v>
      </c>
    </row>
    <row r="472" spans="1:10">
      <c r="A472" s="10" t="s">
        <v>451</v>
      </c>
      <c r="B472" s="10" t="s">
        <v>452</v>
      </c>
      <c r="C472" s="10"/>
      <c r="D472" t="s">
        <v>484</v>
      </c>
      <c r="E472" t="s">
        <v>484</v>
      </c>
      <c r="F472" t="s">
        <v>2841</v>
      </c>
      <c r="G472" s="14" t="s">
        <v>2827</v>
      </c>
      <c r="H472" s="14">
        <v>1648</v>
      </c>
      <c r="J472" t="str">
        <f>HYPERLINK("https://jicheng.tw/tcm/book/%e5%b0%9a%e8%ab%96%e7%af%87/index.html")</f>
        <v>https://jicheng.tw/tcm/book/%e5%b0%9a%e8%ab%96%e7%af%87/index.html</v>
      </c>
    </row>
    <row r="473" spans="1:10">
      <c r="A473" s="10" t="s">
        <v>451</v>
      </c>
      <c r="B473" s="10" t="s">
        <v>452</v>
      </c>
      <c r="C473" s="10"/>
      <c r="D473" t="s">
        <v>485</v>
      </c>
      <c r="E473" t="s">
        <v>485</v>
      </c>
      <c r="F473" t="s">
        <v>2841</v>
      </c>
      <c r="G473" s="14" t="s">
        <v>2827</v>
      </c>
      <c r="H473" s="14">
        <v>1648</v>
      </c>
      <c r="J473" t="str">
        <f>HYPERLINK("https://jicheng.tw/tcm/book/%e5%b0%9a%e8%ab%96%e5%be%8c%e7%af%87/index.html")</f>
        <v>https://jicheng.tw/tcm/book/%e5%b0%9a%e8%ab%96%e5%be%8c%e7%af%87/index.html</v>
      </c>
    </row>
    <row r="474" spans="1:10">
      <c r="A474" s="10" t="s">
        <v>451</v>
      </c>
      <c r="B474" s="10" t="s">
        <v>452</v>
      </c>
      <c r="C474" s="10"/>
      <c r="D474" t="s">
        <v>1712</v>
      </c>
      <c r="E474" t="s">
        <v>486</v>
      </c>
      <c r="F474" t="s">
        <v>2842</v>
      </c>
      <c r="G474" s="14" t="s">
        <v>2827</v>
      </c>
      <c r="H474" s="14">
        <v>1894</v>
      </c>
      <c r="J474" t="str">
        <f>HYPERLINK("https://jicheng.tw/tcm/book/%e5%82%b7%e5%af%92%e8%ab%96%e6%b7%ba%e8%a8%bb%e8%a3%9c%e6%ad%a3/index.html")</f>
        <v>https://jicheng.tw/tcm/book/%e5%82%b7%e5%af%92%e8%ab%96%e6%b7%ba%e8%a8%bb%e8%a3%9c%e6%ad%a3/index.html</v>
      </c>
    </row>
    <row r="475" spans="1:10">
      <c r="A475" s="10" t="s">
        <v>451</v>
      </c>
      <c r="B475" s="10" t="s">
        <v>452</v>
      </c>
      <c r="C475" s="10"/>
      <c r="D475" t="s">
        <v>1713</v>
      </c>
      <c r="E475" t="s">
        <v>487</v>
      </c>
      <c r="J475" t="str">
        <f>HYPERLINK("https://jicheng.tw/tcm/book/%e5%82%b7%e5%af%92%e8%ab%96%e6%b7%ba%e8%a8%bb%e8%a3%9c%e6%ad%a3%5f%31/index.html")</f>
        <v>https://jicheng.tw/tcm/book/%e5%82%b7%e5%af%92%e8%ab%96%e6%b7%ba%e8%a8%bb%e8%a3%9c%e6%ad%a3%5f%31/index.html</v>
      </c>
    </row>
    <row r="476" spans="1:10">
      <c r="A476" s="10" t="s">
        <v>451</v>
      </c>
      <c r="B476" s="10" t="s">
        <v>452</v>
      </c>
      <c r="C476" s="10"/>
      <c r="D476" t="s">
        <v>488</v>
      </c>
      <c r="E476" t="s">
        <v>488</v>
      </c>
      <c r="F476" t="s">
        <v>2843</v>
      </c>
      <c r="J476" t="str">
        <f>HYPERLINK("https://jicheng.tw/tcm/book/%e5%82%b7%e5%af%92%e4%b9%8b%e7%a0%94%e7%a9%b6/index.html")</f>
        <v>https://jicheng.tw/tcm/book/%e5%82%b7%e5%af%92%e4%b9%8b%e7%a0%94%e7%a9%b6/index.html</v>
      </c>
    </row>
    <row r="477" spans="1:10">
      <c r="A477" s="10" t="s">
        <v>451</v>
      </c>
      <c r="B477" s="10" t="s">
        <v>452</v>
      </c>
      <c r="C477" s="10"/>
      <c r="D477" t="s">
        <v>1714</v>
      </c>
      <c r="E477" t="s">
        <v>489</v>
      </c>
      <c r="F477" t="s">
        <v>2844</v>
      </c>
      <c r="G477" s="14" t="s">
        <v>2827</v>
      </c>
      <c r="H477" s="14">
        <v>1765</v>
      </c>
      <c r="J477" t="str">
        <f>HYPERLINK("https://jicheng.tw/tcm/book/%e5%82%b7%e5%af%92%e8%ab%96%e8%ae%80/index.html")</f>
        <v>https://jicheng.tw/tcm/book/%e5%82%b7%e5%af%92%e8%ab%96%e8%ae%80/index.html</v>
      </c>
    </row>
    <row r="478" spans="1:10">
      <c r="A478" s="10" t="s">
        <v>451</v>
      </c>
      <c r="B478" s="10" t="s">
        <v>452</v>
      </c>
      <c r="C478" s="10"/>
      <c r="D478" t="s">
        <v>490</v>
      </c>
      <c r="E478" t="s">
        <v>490</v>
      </c>
      <c r="F478" t="s">
        <v>2845</v>
      </c>
      <c r="G478" s="14" t="s">
        <v>2846</v>
      </c>
      <c r="H478" s="14">
        <v>1934</v>
      </c>
      <c r="J478" t="str">
        <f>HYPERLINK("https://jicheng.tw/tcm/book/%e5%a2%9e%e8%a8%82%e9%80%9a%e4%bf%97%e5%82%b7%e5%af%92%e8%ab%96/index.html")</f>
        <v>https://jicheng.tw/tcm/book/%e5%a2%9e%e8%a8%82%e9%80%9a%e4%bf%97%e5%82%b7%e5%af%92%e8%ab%96/index.html</v>
      </c>
    </row>
    <row r="479" spans="1:10">
      <c r="A479" s="10" t="s">
        <v>451</v>
      </c>
      <c r="B479" s="10" t="s">
        <v>452</v>
      </c>
      <c r="C479" s="10"/>
      <c r="D479" t="s">
        <v>491</v>
      </c>
      <c r="E479" t="s">
        <v>491</v>
      </c>
      <c r="F479" t="s">
        <v>2847</v>
      </c>
      <c r="G479" s="14" t="s">
        <v>2827</v>
      </c>
      <c r="H479" s="14">
        <v>1796</v>
      </c>
      <c r="J479" t="str">
        <f>HYPERLINK("https://jicheng.tw/tcm/book/%e5%82%b7%e5%af%92%e6%8c%87%e6%8e%8c/index.html")</f>
        <v>https://jicheng.tw/tcm/book/%e5%82%b7%e5%af%92%e6%8c%87%e6%8e%8c/index.html</v>
      </c>
    </row>
    <row r="480" spans="1:10">
      <c r="A480" s="10" t="s">
        <v>451</v>
      </c>
      <c r="B480" s="10" t="s">
        <v>452</v>
      </c>
      <c r="C480" s="10"/>
      <c r="D480" t="s">
        <v>492</v>
      </c>
      <c r="E480" t="s">
        <v>492</v>
      </c>
      <c r="F480" t="s">
        <v>2848</v>
      </c>
      <c r="G480" s="14" t="s">
        <v>2827</v>
      </c>
      <c r="H480" s="14">
        <v>1674</v>
      </c>
      <c r="J480" t="str">
        <f>HYPERLINK("https://jicheng.tw/tcm/book/%e5%82%b7%e5%af%92%e9%99%84%e7%bf%bc/index.html")</f>
        <v>https://jicheng.tw/tcm/book/%e5%82%b7%e5%af%92%e9%99%84%e7%bf%bc/index.html</v>
      </c>
    </row>
    <row r="481" spans="1:10">
      <c r="A481" s="10" t="s">
        <v>451</v>
      </c>
      <c r="B481" s="10" t="s">
        <v>452</v>
      </c>
      <c r="C481" s="10"/>
      <c r="D481" t="s">
        <v>493</v>
      </c>
      <c r="E481" t="s">
        <v>493</v>
      </c>
      <c r="F481" t="s">
        <v>2849</v>
      </c>
      <c r="G481" s="14" t="s">
        <v>2825</v>
      </c>
      <c r="H481" s="14" t="s">
        <v>2699</v>
      </c>
      <c r="J481" t="str">
        <f>HYPERLINK("https://jicheng.tw/tcm/book/%e6%b2%b3%e9%96%93%e5%82%b7%e5%af%92%e5%bf%83%e8%a6%81/index.html")</f>
        <v>https://jicheng.tw/tcm/book/%e6%b2%b3%e9%96%93%e5%82%b7%e5%af%92%e5%bf%83%e8%a6%81/index.html</v>
      </c>
    </row>
    <row r="482" spans="1:10">
      <c r="A482" s="10" t="s">
        <v>451</v>
      </c>
      <c r="B482" s="10" t="s">
        <v>452</v>
      </c>
      <c r="C482" s="10"/>
      <c r="D482" t="s">
        <v>494</v>
      </c>
      <c r="E482" t="s">
        <v>494</v>
      </c>
      <c r="F482" t="s">
        <v>2850</v>
      </c>
      <c r="G482" s="14" t="s">
        <v>2825</v>
      </c>
      <c r="H482" s="14">
        <v>1234</v>
      </c>
      <c r="J482" t="str">
        <f>HYPERLINK("https://jicheng.tw/tcm/book/%e5%82%b7%e5%af%92%e5%bf%83%e8%a6%81%5f%31/index.html")</f>
        <v>https://jicheng.tw/tcm/book/%e5%82%b7%e5%af%92%e5%bf%83%e8%a6%81%5f%31/index.html</v>
      </c>
    </row>
    <row r="483" spans="1:10">
      <c r="A483" s="10" t="s">
        <v>451</v>
      </c>
      <c r="B483" s="10" t="s">
        <v>452</v>
      </c>
      <c r="C483" s="10"/>
      <c r="D483" t="s">
        <v>495</v>
      </c>
      <c r="E483" t="s">
        <v>495</v>
      </c>
      <c r="F483" t="s">
        <v>2851</v>
      </c>
      <c r="G483" s="14" t="s">
        <v>2827</v>
      </c>
      <c r="H483" s="14">
        <v>1908</v>
      </c>
      <c r="J483" t="str">
        <f>HYPERLINK("https://jicheng.tw/tcm/book/%e5%82%b7%e5%af%92%e6%8d%b7%e8%a8%a3/index.html")</f>
        <v>https://jicheng.tw/tcm/book/%e5%82%b7%e5%af%92%e6%8d%b7%e8%a8%a3/index.html</v>
      </c>
    </row>
    <row r="484" spans="1:10">
      <c r="A484" s="10" t="s">
        <v>451</v>
      </c>
      <c r="B484" s="10" t="s">
        <v>452</v>
      </c>
      <c r="C484" s="10"/>
      <c r="D484" t="s">
        <v>496</v>
      </c>
      <c r="E484" t="s">
        <v>496</v>
      </c>
      <c r="F484" t="s">
        <v>2852</v>
      </c>
      <c r="G484" s="14" t="s">
        <v>2827</v>
      </c>
      <c r="H484" s="14">
        <v>1916</v>
      </c>
      <c r="J484" t="str">
        <f>HYPERLINK("https://jicheng.tw/tcm/book/%e9%87%8d%e8%a8%82%e9%80%9a%e4%bf%97%e5%82%b7%e5%af%92%e8%ab%96/index.html")</f>
        <v>https://jicheng.tw/tcm/book/%e9%87%8d%e8%a8%82%e9%80%9a%e4%bf%97%e5%82%b7%e5%af%92%e8%ab%96/index.html</v>
      </c>
    </row>
    <row r="485" spans="1:10">
      <c r="A485" s="10" t="s">
        <v>451</v>
      </c>
      <c r="B485" s="10" t="s">
        <v>452</v>
      </c>
      <c r="C485" s="10"/>
      <c r="D485" t="s">
        <v>1715</v>
      </c>
      <c r="E485" t="s">
        <v>497</v>
      </c>
      <c r="F485" t="s">
        <v>2853</v>
      </c>
      <c r="G485" s="14" t="s">
        <v>2854</v>
      </c>
      <c r="H485" s="14">
        <v>1233</v>
      </c>
      <c r="J485" t="str">
        <f>HYPERLINK("https://jicheng.tw/tcm/book/%e5%8a%89%e6%b2%b3%e9%96%93%e5%82%b7%e5%af%92%e9%86%ab%e9%91%91/index.html")</f>
        <v>https://jicheng.tw/tcm/book/%e5%8a%89%e6%b2%b3%e9%96%93%e5%82%b7%e5%af%92%e9%86%ab%e9%91%91/index.html</v>
      </c>
    </row>
    <row r="486" spans="1:10">
      <c r="A486" s="10" t="s">
        <v>451</v>
      </c>
      <c r="B486" s="10" t="s">
        <v>452</v>
      </c>
      <c r="C486" s="10"/>
      <c r="D486" t="s">
        <v>498</v>
      </c>
      <c r="E486" t="s">
        <v>498</v>
      </c>
      <c r="F486" t="s">
        <v>2855</v>
      </c>
      <c r="G486" s="14" t="s">
        <v>2835</v>
      </c>
      <c r="H486" s="14">
        <v>1445</v>
      </c>
      <c r="J486" t="str">
        <f>HYPERLINK("https://jicheng.tw/tcm/book/%e5%82%b7%e5%af%92%e5%85%ad%e6%9b%b8/index.html")</f>
        <v>https://jicheng.tw/tcm/book/%e5%82%b7%e5%af%92%e5%85%ad%e6%9b%b8/index.html</v>
      </c>
    </row>
    <row r="487" spans="1:10">
      <c r="A487" s="10" t="s">
        <v>451</v>
      </c>
      <c r="B487" s="10" t="s">
        <v>452</v>
      </c>
      <c r="C487" s="10"/>
      <c r="D487" t="s">
        <v>499</v>
      </c>
      <c r="E487" t="s">
        <v>499</v>
      </c>
      <c r="F487" t="s">
        <v>2856</v>
      </c>
      <c r="G487" s="14" t="s">
        <v>2827</v>
      </c>
      <c r="H487" s="14">
        <v>1850</v>
      </c>
      <c r="J487" t="str">
        <f>HYPERLINK("https://jicheng.tw/tcm/book/%e5%82%b7%e5%af%92%e5%b0%8b%e6%ba%90/index.html")</f>
        <v>https://jicheng.tw/tcm/book/%e5%82%b7%e5%af%92%e5%b0%8b%e6%ba%90/index.html</v>
      </c>
    </row>
    <row r="488" spans="1:10">
      <c r="A488" s="10" t="s">
        <v>451</v>
      </c>
      <c r="B488" s="10" t="s">
        <v>452</v>
      </c>
      <c r="C488" s="10"/>
      <c r="D488" t="s">
        <v>500</v>
      </c>
      <c r="E488" t="s">
        <v>500</v>
      </c>
      <c r="F488" t="s">
        <v>2857</v>
      </c>
      <c r="G488" s="14" t="s">
        <v>2830</v>
      </c>
      <c r="H488" s="14">
        <v>1142</v>
      </c>
      <c r="J488" t="str">
        <f>HYPERLINK("https://jicheng.tw/tcm/book/%e5%82%b7%e5%af%92%e6%98%8e%e7%90%86%e8%ab%96/index.html")</f>
        <v>https://jicheng.tw/tcm/book/%e5%82%b7%e5%af%92%e6%98%8e%e7%90%86%e8%ab%96/index.html</v>
      </c>
    </row>
    <row r="489" spans="1:10">
      <c r="A489" s="10" t="s">
        <v>451</v>
      </c>
      <c r="B489" s="10" t="s">
        <v>452</v>
      </c>
      <c r="C489" s="10"/>
      <c r="D489" t="s">
        <v>501</v>
      </c>
      <c r="E489" t="s">
        <v>501</v>
      </c>
      <c r="F489" t="s">
        <v>2857</v>
      </c>
      <c r="G489" s="14" t="s">
        <v>2825</v>
      </c>
      <c r="H489" s="14">
        <v>1142</v>
      </c>
      <c r="J489" t="str">
        <f>HYPERLINK("https://jicheng.tw/tcm/book/%e5%82%b7%e5%af%92%e6%98%8e%e7%90%86%e8%ab%96%5f%31/index.html")</f>
        <v>https://jicheng.tw/tcm/book/%e5%82%b7%e5%af%92%e6%98%8e%e7%90%86%e8%ab%96%5f%31/index.html</v>
      </c>
    </row>
    <row r="490" spans="1:10">
      <c r="A490" s="10" t="s">
        <v>451</v>
      </c>
      <c r="B490" s="10" t="s">
        <v>452</v>
      </c>
      <c r="C490" s="10"/>
      <c r="D490" t="s">
        <v>502</v>
      </c>
      <c r="E490" t="s">
        <v>502</v>
      </c>
      <c r="F490" t="s">
        <v>2858</v>
      </c>
      <c r="G490" s="14" t="s">
        <v>2835</v>
      </c>
      <c r="H490" s="14">
        <v>1649</v>
      </c>
      <c r="J490" t="str">
        <f>HYPERLINK("https://jicheng.tw/tcm/book/%e5%82%b7%e5%af%92%e6%8b%ac%e8%a6%81/index.html")</f>
        <v>https://jicheng.tw/tcm/book/%e5%82%b7%e5%af%92%e6%8b%ac%e8%a6%81/index.html</v>
      </c>
    </row>
    <row r="491" spans="1:10">
      <c r="A491" s="10" t="s">
        <v>451</v>
      </c>
      <c r="B491" s="10" t="s">
        <v>452</v>
      </c>
      <c r="C491" s="10"/>
      <c r="D491" t="s">
        <v>503</v>
      </c>
      <c r="E491" t="s">
        <v>503</v>
      </c>
      <c r="F491" t="s">
        <v>2859</v>
      </c>
      <c r="G491" s="14" t="s">
        <v>2827</v>
      </c>
      <c r="H491" s="14">
        <v>1842</v>
      </c>
      <c r="J491" t="str">
        <f>HYPERLINK("https://jicheng.tw/tcm/book/%e5%82%b7%e5%af%92%e6%b3%95%e7%a5%96/index.html")</f>
        <v>https://jicheng.tw/tcm/book/%e5%82%b7%e5%af%92%e6%b3%95%e7%a5%96/index.html</v>
      </c>
    </row>
    <row r="492" spans="1:10">
      <c r="A492" s="10" t="s">
        <v>451</v>
      </c>
      <c r="B492" s="10" t="s">
        <v>452</v>
      </c>
      <c r="C492" s="10"/>
      <c r="D492" t="s">
        <v>504</v>
      </c>
      <c r="E492" t="s">
        <v>504</v>
      </c>
      <c r="F492" t="s">
        <v>2860</v>
      </c>
      <c r="G492" s="14" t="s">
        <v>2710</v>
      </c>
      <c r="H492" s="14">
        <v>1905</v>
      </c>
      <c r="J492" t="str">
        <f>HYPERLINK("https://jicheng.tw/tcm/book/%e5%82%b7%e5%af%92%e8%a3%9c%e4%be%8b/index.html")</f>
        <v>https://jicheng.tw/tcm/book/%e5%82%b7%e5%af%92%e8%a3%9c%e4%be%8b/index.html</v>
      </c>
    </row>
    <row r="493" spans="1:10">
      <c r="A493" s="10" t="s">
        <v>451</v>
      </c>
      <c r="B493" s="10" t="s">
        <v>452</v>
      </c>
      <c r="C493" s="10"/>
      <c r="D493" t="s">
        <v>505</v>
      </c>
      <c r="E493" t="s">
        <v>505</v>
      </c>
      <c r="F493" t="s">
        <v>2861</v>
      </c>
      <c r="G493" s="14" t="s">
        <v>2729</v>
      </c>
      <c r="H493" s="14">
        <v>1132</v>
      </c>
      <c r="J493" t="str">
        <f>HYPERLINK("https://jicheng.tw/tcm/book/%e5%82%b7%e5%af%92%e4%b9%9d%e5%8d%81%e8%ab%96/index.html")</f>
        <v>https://jicheng.tw/tcm/book/%e5%82%b7%e5%af%92%e4%b9%9d%e5%8d%81%e8%ab%96/index.html</v>
      </c>
    </row>
    <row r="494" spans="1:10">
      <c r="A494" s="10" t="s">
        <v>451</v>
      </c>
      <c r="B494" s="10" t="s">
        <v>452</v>
      </c>
      <c r="C494" s="10"/>
      <c r="D494" t="s">
        <v>1716</v>
      </c>
      <c r="E494" t="s">
        <v>506</v>
      </c>
      <c r="F494" t="s">
        <v>2862</v>
      </c>
      <c r="G494" s="14" t="s">
        <v>2710</v>
      </c>
      <c r="H494" s="14">
        <v>1680</v>
      </c>
      <c r="J494" t="str">
        <f>HYPERLINK("https://jicheng.tw/tcm/book/%e5%82%b7%e5%af%92%e8%ab%96%e8%be%af%e8%ad%89%e5%bb%a3%e8%a8%bb/index.html")</f>
        <v>https://jicheng.tw/tcm/book/%e5%82%b7%e5%af%92%e8%ab%96%e8%be%af%e8%ad%89%e5%bb%a3%e8%a8%bb/index.html</v>
      </c>
    </row>
    <row r="495" spans="1:10">
      <c r="A495" s="10" t="s">
        <v>451</v>
      </c>
      <c r="B495" s="10" t="s">
        <v>452</v>
      </c>
      <c r="C495" s="10"/>
      <c r="D495" t="s">
        <v>1717</v>
      </c>
      <c r="E495" t="s">
        <v>507</v>
      </c>
      <c r="F495" t="s">
        <v>2862</v>
      </c>
      <c r="G495" s="14" t="s">
        <v>2710</v>
      </c>
      <c r="H495" s="14">
        <v>1680</v>
      </c>
      <c r="J495" t="str">
        <f>HYPERLINK("https://jicheng.tw/tcm/book/%e4%b8%ad%e5%af%92%e8%ab%96%e8%be%af%e8%ad%89%e5%bb%a3%e8%a8%bb/index.html")</f>
        <v>https://jicheng.tw/tcm/book/%e4%b8%ad%e5%af%92%e8%ab%96%e8%be%af%e8%ad%89%e5%bb%a3%e8%a8%bb/index.html</v>
      </c>
    </row>
    <row r="496" spans="1:10">
      <c r="A496" s="10" t="s">
        <v>451</v>
      </c>
      <c r="B496" s="10" t="s">
        <v>452</v>
      </c>
      <c r="C496" s="10"/>
      <c r="D496" t="s">
        <v>508</v>
      </c>
      <c r="E496" t="s">
        <v>508</v>
      </c>
      <c r="F496" t="s">
        <v>2863</v>
      </c>
      <c r="G496" s="14" t="s">
        <v>2710</v>
      </c>
      <c r="H496" s="14">
        <v>1714</v>
      </c>
      <c r="J496" t="str">
        <f>HYPERLINK("https://jicheng.tw/tcm/book/%e5%82%b7%e5%af%92%e5%a4%a7%e7%99%bd/index.html")</f>
        <v>https://jicheng.tw/tcm/book/%e5%82%b7%e5%af%92%e5%a4%a7%e7%99%bd/index.html</v>
      </c>
    </row>
    <row r="497" spans="1:10">
      <c r="A497" s="10" t="s">
        <v>451</v>
      </c>
      <c r="B497" s="10" t="s">
        <v>452</v>
      </c>
      <c r="C497" s="10"/>
      <c r="D497" t="s">
        <v>509</v>
      </c>
      <c r="E497" t="s">
        <v>509</v>
      </c>
      <c r="F497" t="s">
        <v>2853</v>
      </c>
      <c r="G497" s="14" t="s">
        <v>2775</v>
      </c>
      <c r="H497" s="14">
        <v>1327</v>
      </c>
      <c r="J497" t="str">
        <f>HYPERLINK("https://jicheng.tw/tcm/book/%e5%82%b7%e5%af%92%e9%88%90%e6%b3%95/index.html")</f>
        <v>https://jicheng.tw/tcm/book/%e5%82%b7%e5%af%92%e9%88%90%e6%b3%95/index.html</v>
      </c>
    </row>
    <row r="498" spans="1:10">
      <c r="A498" s="10" t="s">
        <v>451</v>
      </c>
      <c r="B498" s="10" t="s">
        <v>452</v>
      </c>
      <c r="C498" s="10"/>
      <c r="D498" t="s">
        <v>1718</v>
      </c>
      <c r="E498" t="s">
        <v>510</v>
      </c>
      <c r="F498" t="s">
        <v>2864</v>
      </c>
      <c r="G498" s="14" t="s">
        <v>2729</v>
      </c>
      <c r="H498" s="14">
        <v>1084</v>
      </c>
      <c r="J498" t="str">
        <f>HYPERLINK("https://jicheng.tw/tcm/book/%e5%82%b7%e5%af%92%e7%b8%bd%e7%97%85%e8%ab%96/index.html")</f>
        <v>https://jicheng.tw/tcm/book/%e5%82%b7%e5%af%92%e7%b8%bd%e7%97%85%e8%ab%96/index.html</v>
      </c>
    </row>
    <row r="499" spans="1:10">
      <c r="A499" s="10" t="s">
        <v>451</v>
      </c>
      <c r="B499" s="10" t="s">
        <v>452</v>
      </c>
      <c r="C499" s="10"/>
      <c r="D499" t="s">
        <v>1719</v>
      </c>
      <c r="E499" t="s">
        <v>511</v>
      </c>
      <c r="F499" t="s">
        <v>2864</v>
      </c>
      <c r="G499" s="14" t="s">
        <v>2729</v>
      </c>
      <c r="J499" t="str">
        <f>HYPERLINK("https://jicheng.tw/tcm/book/%e5%82%b7%e5%af%92%e7%b8%bd%e7%97%85%e8%ab%96%5f%31/index.html")</f>
        <v>https://jicheng.tw/tcm/book/%e5%82%b7%e5%af%92%e7%b8%bd%e7%97%85%e8%ab%96%5f%31/index.html</v>
      </c>
    </row>
    <row r="500" spans="1:10">
      <c r="A500" s="10" t="s">
        <v>451</v>
      </c>
      <c r="B500" s="10" t="s">
        <v>452</v>
      </c>
      <c r="C500" s="10"/>
      <c r="D500" t="s">
        <v>1720</v>
      </c>
      <c r="E500" t="s">
        <v>512</v>
      </c>
      <c r="F500" t="s">
        <v>2865</v>
      </c>
      <c r="G500" s="14" t="s">
        <v>2710</v>
      </c>
      <c r="H500" s="14">
        <v>1784</v>
      </c>
      <c r="J500" t="str">
        <f>HYPERLINK("https://jicheng.tw/tcm/book/%e5%82%b7%e5%af%92%e7%98%9f%e7%96%ab%e6%a2%9d%e8%be%a8/index.html")</f>
        <v>https://jicheng.tw/tcm/book/%e5%82%b7%e5%af%92%e7%98%9f%e7%96%ab%e6%a2%9d%e8%be%a8/index.html</v>
      </c>
    </row>
    <row r="501" spans="1:10">
      <c r="A501" s="10" t="s">
        <v>451</v>
      </c>
      <c r="B501" s="10" t="s">
        <v>452</v>
      </c>
      <c r="C501" s="10"/>
      <c r="D501" t="s">
        <v>1721</v>
      </c>
      <c r="E501" t="s">
        <v>513</v>
      </c>
      <c r="F501" t="s">
        <v>2715</v>
      </c>
      <c r="G501" s="14" t="s">
        <v>2710</v>
      </c>
      <c r="J501" t="str">
        <f>HYPERLINK("https://jicheng.tw/tcm/book/%e5%82%b7%e5%af%92%e5%bb%a3%e8%a6%81/index.html")</f>
        <v>https://jicheng.tw/tcm/book/%e5%82%b7%e5%af%92%e5%bb%a3%e8%a6%81/index.html</v>
      </c>
    </row>
    <row r="502" spans="1:10">
      <c r="A502" s="10" t="s">
        <v>451</v>
      </c>
      <c r="B502" s="10" t="s">
        <v>452</v>
      </c>
      <c r="C502" s="10"/>
      <c r="D502" t="s">
        <v>514</v>
      </c>
      <c r="E502" t="s">
        <v>514</v>
      </c>
      <c r="F502" t="s">
        <v>2866</v>
      </c>
      <c r="J502" t="str">
        <f>HYPERLINK("https://jicheng.tw/tcm/book/%e5%82%b7%e5%af%92%e8%ab%96%e7%b6%b1%e8%a6%81/index.html")</f>
        <v>https://jicheng.tw/tcm/book/%e5%82%b7%e5%af%92%e8%ab%96%e7%b6%b1%e8%a6%81/index.html</v>
      </c>
    </row>
    <row r="503" spans="1:10">
      <c r="A503" s="10" t="s">
        <v>451</v>
      </c>
      <c r="B503" s="10" t="s">
        <v>452</v>
      </c>
      <c r="C503" s="10"/>
      <c r="D503" t="s">
        <v>515</v>
      </c>
      <c r="E503" t="s">
        <v>515</v>
      </c>
      <c r="F503" t="s">
        <v>2715</v>
      </c>
      <c r="G503" s="14" t="s">
        <v>2710</v>
      </c>
      <c r="H503" s="14">
        <v>1827</v>
      </c>
      <c r="J503" t="str">
        <f>HYPERLINK("https://jicheng.tw/tcm/book/%e5%82%b7%e5%af%92%e8%ab%96%e8%bf%b0%e7%be%a9/index.html")</f>
        <v>https://jicheng.tw/tcm/book/%e5%82%b7%e5%af%92%e8%ab%96%e8%bf%b0%e7%be%a9/index.html</v>
      </c>
    </row>
    <row r="504" spans="1:10">
      <c r="A504" s="10" t="s">
        <v>451</v>
      </c>
      <c r="B504" s="10" t="s">
        <v>452</v>
      </c>
      <c r="C504" s="10"/>
      <c r="D504" t="s">
        <v>1722</v>
      </c>
      <c r="E504" t="s">
        <v>516</v>
      </c>
      <c r="F504" t="s">
        <v>2867</v>
      </c>
      <c r="G504" s="14" t="s">
        <v>2710</v>
      </c>
      <c r="H504" s="14">
        <v>1754</v>
      </c>
      <c r="J504" t="str">
        <f>HYPERLINK("https://jicheng.tw/tcm/book/%e5%82%b7%e5%af%92%e8%aa%aa%e6%84%8f/index.html")</f>
        <v>https://jicheng.tw/tcm/book/%e5%82%b7%e5%af%92%e8%aa%aa%e6%84%8f/index.html</v>
      </c>
    </row>
    <row r="505" spans="1:10">
      <c r="A505" s="10" t="s">
        <v>451</v>
      </c>
      <c r="B505" s="10" t="s">
        <v>452</v>
      </c>
      <c r="C505" s="10"/>
      <c r="D505" t="s">
        <v>1723</v>
      </c>
      <c r="E505" t="s">
        <v>517</v>
      </c>
      <c r="J505" t="str">
        <f>HYPERLINK("https://jicheng.tw/tcm/book/%e6%84%9f%e7%97%87%e5%af%b6%e7%ad%8f/index.html")</f>
        <v>https://jicheng.tw/tcm/book/%e6%84%9f%e7%97%87%e5%af%b6%e7%ad%8f/index.html</v>
      </c>
    </row>
    <row r="506" spans="1:10">
      <c r="A506" s="10" t="s">
        <v>451</v>
      </c>
      <c r="B506" s="10" t="s">
        <v>452</v>
      </c>
      <c r="C506" s="10"/>
      <c r="D506" t="s">
        <v>518</v>
      </c>
      <c r="E506" t="s">
        <v>518</v>
      </c>
      <c r="F506" t="s">
        <v>2868</v>
      </c>
      <c r="G506" s="14" t="s">
        <v>2809</v>
      </c>
      <c r="I506" t="s">
        <v>2957</v>
      </c>
      <c r="J506" t="str">
        <f>HYPERLINK("https://jicheng.tw/tcm/book/%e5%82%b7%e5%af%92%e5%bf%83%e9%8f%a1%e5%88%a5%e9%9b%86/index.html")</f>
        <v>https://jicheng.tw/tcm/book/%e5%82%b7%e5%af%92%e5%bf%83%e9%8f%a1%e5%88%a5%e9%9b%86/index.html</v>
      </c>
    </row>
    <row r="507" spans="1:10">
      <c r="A507" s="10" t="s">
        <v>451</v>
      </c>
      <c r="B507" s="10" t="s">
        <v>452</v>
      </c>
      <c r="C507" s="10"/>
      <c r="D507" t="s">
        <v>1724</v>
      </c>
      <c r="E507" t="s">
        <v>519</v>
      </c>
      <c r="F507" t="s">
        <v>2869</v>
      </c>
      <c r="G507" s="14" t="s">
        <v>2710</v>
      </c>
      <c r="H507" s="14">
        <v>1667</v>
      </c>
      <c r="J507" t="str">
        <f>HYPERLINK("https://jicheng.tw/tcm/book/%e5%82%b7%e5%af%92%e5%85%bc%e8%ad%89%e6%9e%90%e7%be%a9/index.html")</f>
        <v>https://jicheng.tw/tcm/book/%e5%82%b7%e5%af%92%e5%85%bc%e8%ad%89%e6%9e%90%e7%be%a9/index.html</v>
      </c>
    </row>
    <row r="508" spans="1:10">
      <c r="A508" s="10" t="s">
        <v>451</v>
      </c>
      <c r="B508" s="10" t="s">
        <v>452</v>
      </c>
      <c r="C508" s="10"/>
      <c r="D508" t="s">
        <v>1725</v>
      </c>
      <c r="E508" t="s">
        <v>520</v>
      </c>
      <c r="F508" t="s">
        <v>2870</v>
      </c>
      <c r="I508" t="s">
        <v>2958</v>
      </c>
      <c r="J508" t="str">
        <f>HYPERLINK("https://jicheng.tw/tcm/book/%e5%82%b7%e5%af%92%e8%be%a8%e8%a6%81%e7%ae%8b%e8%a8%98/index.html")</f>
        <v>https://jicheng.tw/tcm/book/%e5%82%b7%e5%af%92%e8%be%a8%e8%a6%81%e7%ae%8b%e8%a8%98/index.html</v>
      </c>
    </row>
    <row r="509" spans="1:10">
      <c r="A509" s="10" t="s">
        <v>451</v>
      </c>
      <c r="B509" s="10" t="s">
        <v>452</v>
      </c>
      <c r="C509" s="10"/>
      <c r="D509" t="s">
        <v>1726</v>
      </c>
      <c r="E509" t="s">
        <v>521</v>
      </c>
      <c r="F509" t="s">
        <v>2871</v>
      </c>
      <c r="H509" s="14">
        <v>1927</v>
      </c>
      <c r="I509" t="s">
        <v>2959</v>
      </c>
    </row>
    <row r="510" spans="1:10">
      <c r="A510" s="10" t="s">
        <v>451</v>
      </c>
      <c r="B510" s="10" t="s">
        <v>452</v>
      </c>
      <c r="C510" s="10"/>
      <c r="D510" t="s">
        <v>1727</v>
      </c>
      <c r="E510" t="s">
        <v>522</v>
      </c>
      <c r="F510" t="s">
        <v>2872</v>
      </c>
      <c r="G510" s="14" t="s">
        <v>2710</v>
      </c>
      <c r="H510" s="14">
        <v>1869</v>
      </c>
      <c r="J510" t="str">
        <f>HYPERLINK("https://jicheng.tw/tcm/book/%e5%82%b7%e5%af%92%e6%81%86%e8%ab%96/index.html")</f>
        <v>https://jicheng.tw/tcm/book/%e5%82%b7%e5%af%92%e6%81%86%e8%ab%96/index.html</v>
      </c>
    </row>
    <row r="511" spans="1:10">
      <c r="A511" s="10" t="s">
        <v>451</v>
      </c>
      <c r="B511" s="10" t="s">
        <v>452</v>
      </c>
      <c r="C511" s="10"/>
      <c r="D511" t="s">
        <v>1728</v>
      </c>
      <c r="E511" t="s">
        <v>523</v>
      </c>
      <c r="F511" t="s">
        <v>2873</v>
      </c>
      <c r="G511" s="14" t="s">
        <v>2729</v>
      </c>
      <c r="H511" s="14" t="s">
        <v>2700</v>
      </c>
      <c r="J511" t="str">
        <f>HYPERLINK("https://jicheng.tw/tcm/book/%e5%82%b7%e5%af%92%e7%99%be%e8%ad%89%e6%ad%8c/index.html")</f>
        <v>https://jicheng.tw/tcm/book/%e5%82%b7%e5%af%92%e7%99%be%e8%ad%89%e6%ad%8c/index.html</v>
      </c>
    </row>
    <row r="512" spans="1:10">
      <c r="A512" s="10" t="s">
        <v>451</v>
      </c>
      <c r="B512" s="10" t="s">
        <v>452</v>
      </c>
      <c r="C512" s="10"/>
      <c r="D512" t="s">
        <v>524</v>
      </c>
      <c r="E512" t="s">
        <v>524</v>
      </c>
      <c r="F512" t="s">
        <v>2874</v>
      </c>
      <c r="G512" s="14" t="s">
        <v>2729</v>
      </c>
      <c r="H512" s="14">
        <v>1181</v>
      </c>
      <c r="J512" t="str">
        <f>HYPERLINK("https://jicheng.tw/tcm/book/%e4%bb%b2%e6%99%af%e5%82%b7%e5%af%92%e8%a3%9c%e4%ba%a1%e8%ab%96/index.html")</f>
        <v>https://jicheng.tw/tcm/book/%e4%bb%b2%e6%99%af%e5%82%b7%e5%af%92%e8%a3%9c%e4%ba%a1%e8%ab%96/index.html</v>
      </c>
    </row>
    <row r="513" spans="1:10">
      <c r="A513" s="10" t="s">
        <v>451</v>
      </c>
      <c r="B513" s="10" t="s">
        <v>452</v>
      </c>
      <c r="C513" s="10"/>
      <c r="D513" t="s">
        <v>1729</v>
      </c>
      <c r="E513" t="s">
        <v>525</v>
      </c>
      <c r="F513" t="s">
        <v>2873</v>
      </c>
      <c r="G513" s="14" t="s">
        <v>2729</v>
      </c>
      <c r="H513" s="14">
        <v>1132</v>
      </c>
      <c r="J513" t="str">
        <f>HYPERLINK("https://jicheng.tw/tcm/book/%e5%82%b7%e5%af%92%e7%99%bc%e5%be%ae%e8%ab%96/index.html")</f>
        <v>https://jicheng.tw/tcm/book/%e5%82%b7%e5%af%92%e7%99%bc%e5%be%ae%e8%ab%96/index.html</v>
      </c>
    </row>
    <row r="514" spans="1:10">
      <c r="A514" s="10" t="s">
        <v>451</v>
      </c>
      <c r="B514" s="10" t="s">
        <v>452</v>
      </c>
      <c r="C514" s="10"/>
      <c r="D514" t="s">
        <v>526</v>
      </c>
      <c r="E514" t="s">
        <v>526</v>
      </c>
      <c r="F514" t="s">
        <v>2875</v>
      </c>
      <c r="G514" s="14" t="s">
        <v>2710</v>
      </c>
      <c r="H514" s="14">
        <v>1759</v>
      </c>
      <c r="J514" t="str">
        <f>HYPERLINK("https://jicheng.tw/tcm/book/%e5%82%b7%e5%af%92%e8%ab%96%e9%a1%9e%e6%96%b9/index.html")</f>
        <v>https://jicheng.tw/tcm/book/%e5%82%b7%e5%af%92%e8%ab%96%e9%a1%9e%e6%96%b9/index.html</v>
      </c>
    </row>
    <row r="515" spans="1:10">
      <c r="A515" s="10" t="s">
        <v>451</v>
      </c>
      <c r="B515" s="10" t="s">
        <v>452</v>
      </c>
      <c r="C515" s="10"/>
      <c r="D515" t="s">
        <v>527</v>
      </c>
      <c r="E515" t="s">
        <v>527</v>
      </c>
      <c r="F515" t="s">
        <v>2875</v>
      </c>
      <c r="G515" s="14" t="s">
        <v>2710</v>
      </c>
      <c r="J515" t="str">
        <f>HYPERLINK("https://jicheng.tw/tcm/book/%e5%82%b7%e5%af%92%e8%ab%96%e9%a1%9e%e6%96%b9%5f%31/index.html")</f>
        <v>https://jicheng.tw/tcm/book/%e5%82%b7%e5%af%92%e8%ab%96%e9%a1%9e%e6%96%b9%5f%31/index.html</v>
      </c>
    </row>
    <row r="516" spans="1:10">
      <c r="A516" s="10" t="s">
        <v>451</v>
      </c>
      <c r="B516" s="10" t="s">
        <v>452</v>
      </c>
      <c r="C516" s="10"/>
      <c r="D516" t="s">
        <v>1730</v>
      </c>
      <c r="E516" t="s">
        <v>528</v>
      </c>
      <c r="F516" t="s">
        <v>2876</v>
      </c>
      <c r="G516" s="14" t="s">
        <v>2710</v>
      </c>
      <c r="H516" s="14">
        <v>1870</v>
      </c>
      <c r="J516" t="str">
        <f>HYPERLINK("https://jicheng.tw/tcm/book/%e5%82%b7%e5%af%92%e5%af%a9%e8%ad%89%e8%a1%a8/index.html")</f>
        <v>https://jicheng.tw/tcm/book/%e5%82%b7%e5%af%92%e5%af%a9%e8%ad%89%e8%a1%a8/index.html</v>
      </c>
    </row>
    <row r="517" spans="1:10">
      <c r="A517" s="10" t="s">
        <v>451</v>
      </c>
      <c r="B517" s="10" t="s">
        <v>452</v>
      </c>
      <c r="C517" s="10"/>
      <c r="D517" t="s">
        <v>1731</v>
      </c>
      <c r="E517" t="s">
        <v>529</v>
      </c>
      <c r="F517" t="s">
        <v>2711</v>
      </c>
      <c r="G517" s="14" t="s">
        <v>2710</v>
      </c>
      <c r="H517" s="14">
        <v>1803</v>
      </c>
      <c r="J517" t="str">
        <f>HYPERLINK("https://jicheng.tw/tcm/book/%e5%82%b7%e5%af%92%e9%86%ab%e8%a8%a3%e4%b8%b2%e8%a7%a3/index.html")</f>
        <v>https://jicheng.tw/tcm/book/%e5%82%b7%e5%af%92%e9%86%ab%e8%a8%a3%e4%b8%b2%e8%a7%a3/index.html</v>
      </c>
    </row>
    <row r="518" spans="1:10">
      <c r="A518" s="10" t="s">
        <v>451</v>
      </c>
      <c r="B518" s="10" t="s">
        <v>452</v>
      </c>
      <c r="C518" s="10"/>
      <c r="D518" t="s">
        <v>1732</v>
      </c>
      <c r="E518" t="s">
        <v>530</v>
      </c>
      <c r="F518" t="s">
        <v>2782</v>
      </c>
      <c r="G518" s="14" t="s">
        <v>2710</v>
      </c>
      <c r="H518" s="14">
        <v>1742</v>
      </c>
      <c r="J518" t="str">
        <f>HYPERLINK("https://jicheng.tw/tcm/book/%e9%86%ab%e5%ae%97%e9%87%91%e9%91%91/%e5%82%b7%e5%af%92%e5%bf%83%e6%b3%95%e8%a6%81%e8%a8%a3/index.html")</f>
        <v>https://jicheng.tw/tcm/book/%e9%86%ab%e5%ae%97%e9%87%91%e9%91%91/%e5%82%b7%e5%af%92%e5%bf%83%e6%b3%95%e8%a6%81%e8%a8%a3/index.html</v>
      </c>
    </row>
    <row r="519" spans="1:10">
      <c r="A519" s="10" t="s">
        <v>451</v>
      </c>
      <c r="B519" s="10" t="s">
        <v>452</v>
      </c>
      <c r="C519" s="10"/>
      <c r="D519" t="s">
        <v>531</v>
      </c>
      <c r="E519" t="s">
        <v>531</v>
      </c>
      <c r="J519" t="str">
        <f>HYPERLINK("https://jicheng.tw/tcm/book/%e5%82%b7%e5%af%92%e8%a7%a3%e6%af%92%e7%99%82%e6%b3%95/index.html")</f>
        <v>https://jicheng.tw/tcm/book/%e5%82%b7%e5%af%92%e8%a7%a3%e6%af%92%e7%99%82%e6%b3%95/index.html</v>
      </c>
    </row>
    <row r="520" spans="1:10">
      <c r="A520" s="10" t="s">
        <v>451</v>
      </c>
      <c r="B520" s="10" t="s">
        <v>452</v>
      </c>
      <c r="C520" s="10"/>
      <c r="D520" t="s">
        <v>1733</v>
      </c>
      <c r="E520" t="s">
        <v>532</v>
      </c>
      <c r="F520" t="s">
        <v>2877</v>
      </c>
      <c r="J520" t="str">
        <f>HYPERLINK("https://jicheng.tw/tcm/book/%e5%82%b7%e5%af%92%e7%94%a8%e8%97%a5%e7%a0%94%e7%a9%b6/index.html")</f>
        <v>https://jicheng.tw/tcm/book/%e5%82%b7%e5%af%92%e7%94%a8%e8%97%a5%e7%a0%94%e7%a9%b6/index.html</v>
      </c>
    </row>
    <row r="521" spans="1:10">
      <c r="A521" s="10" t="s">
        <v>451</v>
      </c>
      <c r="B521" s="10" t="s">
        <v>452</v>
      </c>
      <c r="C521" s="10"/>
      <c r="D521" t="s">
        <v>1724</v>
      </c>
      <c r="E521" t="s">
        <v>519</v>
      </c>
      <c r="F521" t="s">
        <v>2869</v>
      </c>
      <c r="G521" s="14" t="s">
        <v>2710</v>
      </c>
      <c r="H521" s="14">
        <v>1667</v>
      </c>
      <c r="J521" t="str">
        <f>HYPERLINK("https://jicheng.tw/tcm/book/%e5%82%b7%e5%af%92%e5%85%bc%e8%ad%89%e6%9e%90%e7%be%a9/index.html")</f>
        <v>https://jicheng.tw/tcm/book/%e5%82%b7%e5%af%92%e5%85%bc%e8%ad%89%e6%9e%90%e7%be%a9/index.html</v>
      </c>
    </row>
    <row r="522" spans="1:10">
      <c r="A522" s="10" t="s">
        <v>451</v>
      </c>
      <c r="B522" s="10" t="s">
        <v>452</v>
      </c>
      <c r="C522" s="10"/>
      <c r="D522" t="s">
        <v>1734</v>
      </c>
      <c r="E522" t="s">
        <v>533</v>
      </c>
      <c r="F522" t="s">
        <v>2878</v>
      </c>
      <c r="G522" s="14" t="s">
        <v>2710</v>
      </c>
      <c r="H522" s="14">
        <v>1884</v>
      </c>
      <c r="J522" t="str">
        <f>HYPERLINK("https://jicheng.tw/tcm/book/%e5%82%b7%e5%af%92%e8%ab%96%e9%99%bd%e6%98%8e%e7%97%85%e9%87%8b/index.html")</f>
        <v>https://jicheng.tw/tcm/book/%e5%82%b7%e5%af%92%e8%ab%96%e9%99%bd%e6%98%8e%e7%97%85%e9%87%8b/index.html</v>
      </c>
    </row>
    <row r="523" spans="1:10">
      <c r="A523" s="10" t="s">
        <v>451</v>
      </c>
      <c r="B523" s="10" t="s">
        <v>452</v>
      </c>
      <c r="C523" s="10"/>
      <c r="D523" t="s">
        <v>534</v>
      </c>
      <c r="E523" t="s">
        <v>534</v>
      </c>
      <c r="F523" t="s">
        <v>2879</v>
      </c>
      <c r="G523" s="14" t="s">
        <v>2743</v>
      </c>
      <c r="H523" s="14">
        <v>1569</v>
      </c>
      <c r="J523" t="str">
        <f>HYPERLINK("https://jicheng.tw/tcm/book/%e5%82%b7%e5%af%92%e6%91%98%e9%8c%a6/index.html")</f>
        <v>https://jicheng.tw/tcm/book/%e5%82%b7%e5%af%92%e6%91%98%e9%8c%a6/index.html</v>
      </c>
    </row>
    <row r="524" spans="1:10">
      <c r="A524" s="10" t="s">
        <v>451</v>
      </c>
      <c r="B524" s="10" t="s">
        <v>452</v>
      </c>
      <c r="C524" s="10"/>
      <c r="D524" t="s">
        <v>535</v>
      </c>
      <c r="E524" t="s">
        <v>535</v>
      </c>
      <c r="F524" t="s">
        <v>2880</v>
      </c>
      <c r="G524" s="14" t="s">
        <v>2743</v>
      </c>
      <c r="H524" s="14">
        <v>1396</v>
      </c>
      <c r="J524" t="str">
        <f>HYPERLINK("https://jicheng.tw/tcm/book/%e5%82%b7%e5%af%92%e6%b2%bb%e4%be%8b/index.html")</f>
        <v>https://jicheng.tw/tcm/book/%e5%82%b7%e5%af%92%e6%b2%bb%e4%be%8b/index.html</v>
      </c>
    </row>
    <row r="525" spans="1:10">
      <c r="A525" s="10" t="s">
        <v>451</v>
      </c>
      <c r="B525" s="10" t="s">
        <v>452</v>
      </c>
      <c r="C525" s="10"/>
      <c r="D525" t="s">
        <v>1735</v>
      </c>
      <c r="E525" t="s">
        <v>536</v>
      </c>
      <c r="F525" t="s">
        <v>2877</v>
      </c>
      <c r="J525" t="str">
        <f>HYPERLINK("https://jicheng.tw/tcm/book/%e5%82%b7%e5%af%92%e8%84%88%e8%ad%89%e5%bc%8f/index.html")</f>
        <v>https://jicheng.tw/tcm/book/%e5%82%b7%e5%af%92%e8%84%88%e8%ad%89%e5%bc%8f/index.html</v>
      </c>
    </row>
    <row r="526" spans="1:10">
      <c r="A526" s="10" t="s">
        <v>451</v>
      </c>
      <c r="B526" s="10" t="s">
        <v>452</v>
      </c>
      <c r="C526" s="10"/>
      <c r="D526" t="s">
        <v>537</v>
      </c>
      <c r="E526" t="s">
        <v>537</v>
      </c>
      <c r="F526" t="s">
        <v>2881</v>
      </c>
      <c r="G526" s="14" t="s">
        <v>2710</v>
      </c>
      <c r="H526" s="14">
        <v>1795</v>
      </c>
      <c r="J526" t="str">
        <f>HYPERLINK("https://jicheng.tw/tcm/book/%e5%82%b7%e9%a2%a8%e7%b4%84%e8%a8%80/index.html")</f>
        <v>https://jicheng.tw/tcm/book/%e5%82%b7%e9%a2%a8%e7%b4%84%e8%a8%80/index.html</v>
      </c>
    </row>
    <row r="527" spans="1:10">
      <c r="A527" s="10" t="s">
        <v>451</v>
      </c>
      <c r="B527" s="10" t="s">
        <v>452</v>
      </c>
      <c r="C527" s="10"/>
      <c r="D527" t="s">
        <v>538</v>
      </c>
      <c r="E527" t="s">
        <v>538</v>
      </c>
      <c r="F527" t="s">
        <v>2857</v>
      </c>
      <c r="G527" s="14" t="s">
        <v>2809</v>
      </c>
      <c r="H527" s="14">
        <v>1156</v>
      </c>
      <c r="J527" t="str">
        <f>HYPERLINK("https://jicheng.tw/tcm/book/%e5%82%b7%e5%af%92%e7%9b%b4%e6%8c%87/index.html")</f>
        <v>https://jicheng.tw/tcm/book/%e5%82%b7%e5%af%92%e7%9b%b4%e6%8c%87/index.html</v>
      </c>
    </row>
    <row r="528" spans="1:10">
      <c r="A528" s="10" t="s">
        <v>451</v>
      </c>
      <c r="B528" s="10" t="s">
        <v>452</v>
      </c>
      <c r="C528" s="10"/>
      <c r="D528" t="s">
        <v>1736</v>
      </c>
      <c r="E528" t="s">
        <v>539</v>
      </c>
      <c r="F528" t="s">
        <v>2882</v>
      </c>
      <c r="G528" s="14" t="s">
        <v>2788</v>
      </c>
      <c r="J528" t="str">
        <f>HYPERLINK("https://jicheng.tw/tcm/book/%e5%82%b7%e5%af%92%e9%a1%9e%e6%9b%b8%e6%b4%bb%e4%ba%ba%e7%b8%bd%e6%8b%ac/index.html")</f>
        <v>https://jicheng.tw/tcm/book/%e5%82%b7%e5%af%92%e9%a1%9e%e6%9b%b8%e6%b4%bb%e4%ba%ba%e7%b8%bd%e6%8b%ac/index.html</v>
      </c>
    </row>
    <row r="529" spans="1:10">
      <c r="A529" s="10" t="s">
        <v>451</v>
      </c>
      <c r="B529" s="10" t="s">
        <v>452</v>
      </c>
      <c r="C529" s="10"/>
      <c r="D529" t="s">
        <v>1737</v>
      </c>
      <c r="E529" t="s">
        <v>540</v>
      </c>
      <c r="F529" t="s">
        <v>2883</v>
      </c>
      <c r="G529" s="14" t="s">
        <v>2743</v>
      </c>
      <c r="H529" s="14">
        <v>1508</v>
      </c>
      <c r="J529" t="str">
        <f>HYPERLINK("https://jicheng.tw/tcm/book/%e9%a1%9e%e7%b7%a8%e5%82%b7%e5%af%92%e6%b4%bb%e4%ba%ba%e6%9b%b8%e6%8b%ac%e6%8c%87%e6%8e%8c%e5%9c%96%e8%ab%96/index.html")</f>
        <v>https://jicheng.tw/tcm/book/%e9%a1%9e%e7%b7%a8%e5%82%b7%e5%af%92%e6%b4%bb%e4%ba%ba%e6%9b%b8%e6%8b%ac%e6%8c%87%e6%8e%8c%e5%9c%96%e8%ab%96/index.html</v>
      </c>
    </row>
    <row r="530" spans="1:10">
      <c r="A530" s="10" t="s">
        <v>451</v>
      </c>
      <c r="B530" s="10" t="s">
        <v>452</v>
      </c>
      <c r="C530" s="10"/>
      <c r="D530" t="s">
        <v>1738</v>
      </c>
      <c r="E530" t="s">
        <v>541</v>
      </c>
      <c r="F530" t="s">
        <v>2884</v>
      </c>
      <c r="G530" s="14" t="s">
        <v>2710</v>
      </c>
      <c r="H530" s="14">
        <v>1772</v>
      </c>
      <c r="J530" t="str">
        <f>HYPERLINK("https://jicheng.tw/tcm/book/%e5%82%b7%e5%af%92%e8%ab%96%e5%8a%89%e6%b0%8f%e5%82%b3/index.html")</f>
        <v>https://jicheng.tw/tcm/book/%e5%82%b7%e5%af%92%e8%ab%96%e5%8a%89%e6%b0%8f%e5%82%b3/index.html</v>
      </c>
    </row>
    <row r="531" spans="1:10">
      <c r="A531" s="10" t="s">
        <v>451</v>
      </c>
      <c r="B531" s="10" t="s">
        <v>2478</v>
      </c>
      <c r="C531" s="10"/>
      <c r="D531" t="s">
        <v>543</v>
      </c>
      <c r="E531" t="s">
        <v>543</v>
      </c>
      <c r="F531" t="s">
        <v>2820</v>
      </c>
      <c r="G531" s="14" t="s">
        <v>2885</v>
      </c>
      <c r="H531" s="14">
        <v>219</v>
      </c>
      <c r="J531" s="4" t="str">
        <f>HYPERLINK("https://jicheng.tw/tcm/book/%e9%87%91%e5%8c%b1%e8%a6%81%e7%95%a5%e6%96%b9%e8%ab%96/index.html")</f>
        <v>https://jicheng.tw/tcm/book/%e9%87%91%e5%8c%b1%e8%a6%81%e7%95%a5%e6%96%b9%e8%ab%96/index.html</v>
      </c>
    </row>
    <row r="532" spans="1:10">
      <c r="A532" s="10" t="s">
        <v>451</v>
      </c>
      <c r="B532" s="10" t="s">
        <v>2478</v>
      </c>
      <c r="C532" s="10"/>
      <c r="D532" t="s">
        <v>1739</v>
      </c>
      <c r="E532" t="s">
        <v>544</v>
      </c>
      <c r="F532" t="s">
        <v>2820</v>
      </c>
      <c r="G532" s="14" t="s">
        <v>2885</v>
      </c>
      <c r="J532" t="str">
        <f>HYPERLINK("https://jicheng.tw/tcm/book/%e9%87%91%e5%8c%b1%e7%8e%89%e5%87%bd%e7%b6%93/index.html")</f>
        <v>https://jicheng.tw/tcm/book/%e9%87%91%e5%8c%b1%e7%8e%89%e5%87%bd%e7%b6%93/index.html</v>
      </c>
    </row>
    <row r="533" spans="1:10">
      <c r="A533" s="10" t="s">
        <v>451</v>
      </c>
      <c r="B533" s="10" t="s">
        <v>2478</v>
      </c>
      <c r="C533" s="10"/>
      <c r="D533" t="s">
        <v>545</v>
      </c>
      <c r="E533" t="s">
        <v>545</v>
      </c>
      <c r="F533" t="s">
        <v>2886</v>
      </c>
      <c r="G533" s="14" t="s">
        <v>2710</v>
      </c>
      <c r="H533" s="14">
        <v>1872</v>
      </c>
      <c r="J533" t="str">
        <f>HYPERLINK("https://jicheng.tw/tcm/book/%e9%ab%98%e8%a8%bb%e9%87%91%e5%8c%b1%e8%a6%81%e7%95%a5/index.html")</f>
        <v>https://jicheng.tw/tcm/book/%e9%ab%98%e8%a8%bb%e9%87%91%e5%8c%b1%e8%a6%81%e7%95%a5/index.html</v>
      </c>
    </row>
    <row r="534" spans="1:10">
      <c r="A534" s="10" t="s">
        <v>451</v>
      </c>
      <c r="B534" s="10" t="s">
        <v>2478</v>
      </c>
      <c r="C534" s="10"/>
      <c r="D534" t="s">
        <v>546</v>
      </c>
      <c r="E534" t="s">
        <v>546</v>
      </c>
      <c r="F534" t="s">
        <v>2720</v>
      </c>
      <c r="G534" s="14" t="s">
        <v>2710</v>
      </c>
      <c r="H534" s="14">
        <v>1806</v>
      </c>
      <c r="J534" t="str">
        <f>HYPERLINK("https://jicheng.tw/tcm/book/%e9%87%91%e5%8c%b1%e7%8e%89%e5%87%bd%e8%a6%81%e7%95%a5%e8%bc%af%e7%be%a9/index.html")</f>
        <v>https://jicheng.tw/tcm/book/%e9%87%91%e5%8c%b1%e7%8e%89%e5%87%bd%e8%a6%81%e7%95%a5%e8%bc%af%e7%be%a9/index.html</v>
      </c>
    </row>
    <row r="535" spans="1:10">
      <c r="A535" s="10" t="s">
        <v>451</v>
      </c>
      <c r="B535" s="10" t="s">
        <v>2478</v>
      </c>
      <c r="C535" s="10"/>
      <c r="D535" t="s">
        <v>1740</v>
      </c>
      <c r="E535" t="s">
        <v>547</v>
      </c>
      <c r="F535" t="s">
        <v>2887</v>
      </c>
      <c r="G535" s="14" t="s">
        <v>2710</v>
      </c>
      <c r="H535" s="14">
        <v>1687</v>
      </c>
      <c r="J535" t="str">
        <f>HYPERLINK("https://jicheng.tw/tcm/book/%e9%87%91%e5%8c%b1%e7%8e%89%e5%87%bd%e7%b6%93%e4%ba%8c%e8%a8%bb/index.html")</f>
        <v>https://jicheng.tw/tcm/book/%e9%87%91%e5%8c%b1%e7%8e%89%e5%87%bd%e7%b6%93%e4%ba%8c%e8%a8%bb/index.html</v>
      </c>
    </row>
    <row r="536" spans="1:10">
      <c r="A536" s="10" t="s">
        <v>451</v>
      </c>
      <c r="B536" s="10" t="s">
        <v>2478</v>
      </c>
      <c r="C536" s="10"/>
      <c r="D536" t="s">
        <v>548</v>
      </c>
      <c r="E536" t="s">
        <v>548</v>
      </c>
      <c r="F536" t="s">
        <v>2888</v>
      </c>
      <c r="G536" s="14" t="s">
        <v>2710</v>
      </c>
      <c r="H536" s="14">
        <v>1720</v>
      </c>
      <c r="J536" t="str">
        <f>HYPERLINK("https://jicheng.tw/tcm/book/%e9%87%91%e5%8c%b1%e8%a6%81%e7%95%a5%e6%96%b9%e8%ab%96%e6%9c%ac%e7%be%a9/index.html")</f>
        <v>https://jicheng.tw/tcm/book/%e9%87%91%e5%8c%b1%e8%a6%81%e7%95%a5%e6%96%b9%e8%ab%96%e6%9c%ac%e7%be%a9/index.html</v>
      </c>
    </row>
    <row r="537" spans="1:10">
      <c r="A537" s="10" t="s">
        <v>451</v>
      </c>
      <c r="B537" s="10" t="s">
        <v>2478</v>
      </c>
      <c r="C537" s="10"/>
      <c r="D537" t="s">
        <v>549</v>
      </c>
      <c r="E537" t="s">
        <v>549</v>
      </c>
      <c r="F537" t="s">
        <v>2715</v>
      </c>
      <c r="G537" s="14" t="s">
        <v>2710</v>
      </c>
      <c r="H537" s="14">
        <v>1842</v>
      </c>
      <c r="J537" t="str">
        <f>HYPERLINK("https://jicheng.tw/tcm/book/%e9%87%91%e5%8c%b1%e7%8e%89%e5%87%bd%e8%a6%81%e7%95%a5%e8%bf%b0%e7%be%a9/index.html")</f>
        <v>https://jicheng.tw/tcm/book/%e9%87%91%e5%8c%b1%e7%8e%89%e5%87%bd%e8%a6%81%e7%95%a5%e8%bf%b0%e7%be%a9/index.html</v>
      </c>
    </row>
    <row r="538" spans="1:10">
      <c r="A538" s="10" t="s">
        <v>451</v>
      </c>
      <c r="B538" s="10" t="s">
        <v>2478</v>
      </c>
      <c r="C538" s="10"/>
      <c r="D538" t="s">
        <v>1741</v>
      </c>
      <c r="E538" t="s">
        <v>550</v>
      </c>
      <c r="F538" t="s">
        <v>2782</v>
      </c>
      <c r="G538" s="14" t="s">
        <v>2710</v>
      </c>
      <c r="H538" s="14">
        <v>1742</v>
      </c>
      <c r="J538" t="str">
        <f>HYPERLINK("https://jicheng.tw/tcm/book/%e9%86%ab%e5%ae%97%e9%87%91%e9%91%91/%e8%a8%82%e6%ad%a3%e4%bb%b2%e6%99%af%e5%85%a8%e6%9b%b8%e9%87%91%e5%8c%b1%e8%a6%81%e7%95%a5%e8%a8%bb/index.html")</f>
        <v>https://jicheng.tw/tcm/book/%e9%86%ab%e5%ae%97%e9%87%91%e9%91%91/%e8%a8%82%e6%ad%a3%e4%bb%b2%e6%99%af%e5%85%a8%e6%9b%b8%e9%87%91%e5%8c%b1%e8%a6%81%e7%95%a5%e8%a8%bb/index.html</v>
      </c>
    </row>
    <row r="539" spans="1:10">
      <c r="A539" s="10" t="s">
        <v>451</v>
      </c>
      <c r="B539" s="10" t="s">
        <v>2478</v>
      </c>
      <c r="C539" s="10"/>
      <c r="D539" t="s">
        <v>1742</v>
      </c>
      <c r="E539" t="s">
        <v>551</v>
      </c>
      <c r="F539" t="s">
        <v>2889</v>
      </c>
      <c r="G539" s="14" t="s">
        <v>2710</v>
      </c>
      <c r="H539" s="14">
        <v>1682</v>
      </c>
      <c r="J539" t="str">
        <f>HYPERLINK("https://jicheng.tw/tcm/book/%e9%87%91%e5%8c%b1%e8%a6%81%e7%95%a5%e5%bb%a3%e8%a8%bb/index.html")</f>
        <v>https://jicheng.tw/tcm/book/%e9%87%91%e5%8c%b1%e8%a6%81%e7%95%a5%e5%bb%a3%e8%a8%bb/index.html</v>
      </c>
    </row>
    <row r="540" spans="1:10">
      <c r="A540" s="10" t="s">
        <v>451</v>
      </c>
      <c r="B540" s="10" t="s">
        <v>2478</v>
      </c>
      <c r="C540" s="10"/>
      <c r="D540" t="s">
        <v>552</v>
      </c>
      <c r="E540" t="s">
        <v>552</v>
      </c>
      <c r="F540" t="s">
        <v>2867</v>
      </c>
      <c r="G540" s="14" t="s">
        <v>2710</v>
      </c>
      <c r="H540" s="14">
        <v>1748</v>
      </c>
      <c r="J540" t="str">
        <f>HYPERLINK("https://jicheng.tw/tcm/book/%e9%87%91%e5%8c%b1%e6%87%b8%e8%a7%a3/index.html")</f>
        <v>https://jicheng.tw/tcm/book/%e9%87%91%e5%8c%b1%e6%87%b8%e8%a7%a3/index.html</v>
      </c>
    </row>
    <row r="541" spans="1:10">
      <c r="A541" s="10" t="s">
        <v>451</v>
      </c>
      <c r="B541" s="10" t="s">
        <v>2478</v>
      </c>
      <c r="C541" s="10"/>
      <c r="D541" t="s">
        <v>553</v>
      </c>
      <c r="E541" t="s">
        <v>553</v>
      </c>
      <c r="F541" t="s">
        <v>2838</v>
      </c>
      <c r="G541" s="14" t="s">
        <v>2710</v>
      </c>
      <c r="H541" s="14">
        <v>1729</v>
      </c>
      <c r="J541" t="str">
        <f>HYPERLINK("https://jicheng.tw/tcm/book/%e9%87%91%e5%8c%b1%e8%a6%81%e7%95%a5%e5%bf%83%e5%85%b8/index.html")</f>
        <v>https://jicheng.tw/tcm/book/%e9%87%91%e5%8c%b1%e8%a6%81%e7%95%a5%e5%bf%83%e5%85%b8/index.html</v>
      </c>
    </row>
    <row r="542" spans="1:10">
      <c r="A542" s="10" t="s">
        <v>451</v>
      </c>
      <c r="B542" s="10" t="s">
        <v>2478</v>
      </c>
      <c r="C542" s="10"/>
      <c r="D542" t="s">
        <v>1743</v>
      </c>
      <c r="E542" t="s">
        <v>554</v>
      </c>
      <c r="F542" t="s">
        <v>2711</v>
      </c>
      <c r="G542" s="14" t="s">
        <v>2710</v>
      </c>
      <c r="H542" s="14">
        <v>1803</v>
      </c>
      <c r="J542" t="str">
        <f>HYPERLINK("https://jicheng.tw/tcm/book/%e9%87%91%e5%8c%b1%e8%a6%81%e7%95%a5%e6%b7%ba%e8%a8%bb/index.html")</f>
        <v>https://jicheng.tw/tcm/book/%e9%87%91%e5%8c%b1%e8%a6%81%e7%95%a5%e6%b7%ba%e8%a8%bb/index.html</v>
      </c>
    </row>
    <row r="543" spans="1:10">
      <c r="A543" s="10" t="s">
        <v>451</v>
      </c>
      <c r="B543" s="10" t="s">
        <v>2478</v>
      </c>
      <c r="C543" s="10"/>
      <c r="D543" t="s">
        <v>1744</v>
      </c>
      <c r="E543" t="s">
        <v>555</v>
      </c>
      <c r="F543" t="s">
        <v>2890</v>
      </c>
      <c r="G543" s="14" t="s">
        <v>2710</v>
      </c>
      <c r="H543" s="14">
        <v>1893</v>
      </c>
      <c r="J543" t="str">
        <f>HYPERLINK("https://jicheng.tw/tcm/book/%e9%87%91%e5%8c%b1%e8%a6%81%e7%95%a5%e6%b7%ba%e8%a8%bb%e8%a3%9c%e6%ad%a3/index.html")</f>
        <v>https://jicheng.tw/tcm/book/%e9%87%91%e5%8c%b1%e8%a6%81%e7%95%a5%e6%b7%ba%e8%a8%bb%e8%a3%9c%e6%ad%a3/index.html</v>
      </c>
    </row>
    <row r="544" spans="1:10">
      <c r="A544" s="10" t="s">
        <v>451</v>
      </c>
      <c r="B544" s="10" t="s">
        <v>2478</v>
      </c>
      <c r="C544" s="10"/>
      <c r="D544" t="s">
        <v>556</v>
      </c>
      <c r="E544" t="s">
        <v>556</v>
      </c>
      <c r="F544" t="s">
        <v>2891</v>
      </c>
      <c r="G544" s="14" t="s">
        <v>2710</v>
      </c>
      <c r="H544" s="14">
        <v>1671</v>
      </c>
      <c r="J544" t="str">
        <f>HYPERLINK("https://jicheng.tw/tcm/book/%e9%87%91%e5%8c%b1%e8%a6%81%e7%95%a5%e8%ab%96%e8%a8%bb/index.html")</f>
        <v>https://jicheng.tw/tcm/book/%e9%87%91%e5%8c%b1%e8%a6%81%e7%95%a5%e8%ab%96%e8%a8%bb/index.html</v>
      </c>
    </row>
    <row r="545" spans="1:10">
      <c r="A545" s="10" t="s">
        <v>451</v>
      </c>
      <c r="B545" s="10" t="s">
        <v>35</v>
      </c>
      <c r="C545" s="10"/>
      <c r="D545" t="s">
        <v>1745</v>
      </c>
      <c r="E545" t="s">
        <v>557</v>
      </c>
      <c r="F545" t="s">
        <v>2892</v>
      </c>
      <c r="G545" s="14" t="s">
        <v>2710</v>
      </c>
      <c r="H545" s="14">
        <v>1931</v>
      </c>
      <c r="J545" t="str">
        <f>HYPERLINK("https://jicheng.tw/tcm/book/%e6%9b%b9%e6%b0%8f%e5%82%b7%e5%af%92%e9%87%91%e5%8c%b1%e7%99%bc%e5%be%ae%e5%90%88%e5%88%8a/index.html")</f>
        <v>https://jicheng.tw/tcm/book/%e6%9b%b9%e6%b0%8f%e5%82%b7%e5%af%92%e9%87%91%e5%8c%b1%e7%99%bc%e5%be%ae%e5%90%88%e5%88%8a/index.html</v>
      </c>
    </row>
    <row r="546" spans="1:10">
      <c r="A546" s="10" t="s">
        <v>1746</v>
      </c>
      <c r="B546" s="10"/>
      <c r="C546" s="10"/>
      <c r="D546" t="s">
        <v>1747</v>
      </c>
      <c r="E546" t="s">
        <v>558</v>
      </c>
      <c r="F546" t="s">
        <v>2893</v>
      </c>
      <c r="G546" s="14" t="s">
        <v>2710</v>
      </c>
      <c r="H546" s="14">
        <v>1746</v>
      </c>
      <c r="J546" s="4" t="str">
        <f>HYPERLINK("https://jicheng.tw/tcm/book/%e6%ba%ab%e7%86%b1%e8%ab%96/index.html")</f>
        <v>https://jicheng.tw/tcm/book/%e6%ba%ab%e7%86%b1%e8%ab%96/index.html</v>
      </c>
    </row>
    <row r="547" spans="1:10">
      <c r="A547" s="10" t="s">
        <v>1746</v>
      </c>
      <c r="B547" s="10"/>
      <c r="C547" s="10"/>
      <c r="D547" t="s">
        <v>559</v>
      </c>
      <c r="E547" t="s">
        <v>559</v>
      </c>
      <c r="F547" t="s">
        <v>2894</v>
      </c>
      <c r="G547" s="14" t="s">
        <v>2710</v>
      </c>
      <c r="H547" s="14">
        <v>1882</v>
      </c>
      <c r="J547" t="str">
        <f>HYPERLINK("https://jicheng.tw/tcm/book/%e6%99%82%e7%97%85%e8%ab%96/index.html")</f>
        <v>https://jicheng.tw/tcm/book/%e6%99%82%e7%97%85%e8%ab%96/index.html</v>
      </c>
    </row>
    <row r="548" spans="1:10">
      <c r="A548" s="10" t="s">
        <v>1746</v>
      </c>
      <c r="B548" s="10"/>
      <c r="C548" s="10"/>
      <c r="D548" t="s">
        <v>560</v>
      </c>
      <c r="E548" t="s">
        <v>560</v>
      </c>
      <c r="F548" t="s">
        <v>2894</v>
      </c>
      <c r="G548" s="14" t="s">
        <v>2710</v>
      </c>
      <c r="J548" t="str">
        <f>HYPERLINK("https://jicheng.tw/tcm/book/%e6%99%82%e7%97%85%e8%ab%96%5f%31/index.html")</f>
        <v>https://jicheng.tw/tcm/book/%e6%99%82%e7%97%85%e8%ab%96%5f%31/index.html</v>
      </c>
    </row>
    <row r="549" spans="1:10">
      <c r="A549" s="10" t="s">
        <v>1746</v>
      </c>
      <c r="B549" s="10"/>
      <c r="C549" s="10"/>
      <c r="D549" t="s">
        <v>1748</v>
      </c>
      <c r="E549" t="s">
        <v>561</v>
      </c>
      <c r="F549" t="s">
        <v>2895</v>
      </c>
      <c r="G549" s="14" t="s">
        <v>2710</v>
      </c>
      <c r="H549" s="14">
        <v>1900</v>
      </c>
      <c r="J549" t="str">
        <f>HYPERLINK("https://jicheng.tw/tcm/book/%e6%ba%ab%e7%86%b1%e9%80%a2%e6%ba%90/index.html")</f>
        <v>https://jicheng.tw/tcm/book/%e6%ba%ab%e7%86%b1%e9%80%a2%e6%ba%90/index.html</v>
      </c>
    </row>
    <row r="550" spans="1:10">
      <c r="A550" s="10" t="s">
        <v>1746</v>
      </c>
      <c r="B550" s="10"/>
      <c r="C550" s="10"/>
      <c r="D550" t="s">
        <v>1749</v>
      </c>
      <c r="E550" t="s">
        <v>562</v>
      </c>
      <c r="F550" t="s">
        <v>2895</v>
      </c>
      <c r="G550" s="14" t="s">
        <v>2710</v>
      </c>
      <c r="J550" t="str">
        <f>HYPERLINK("https://jicheng.tw/tcm/book/%e6%ba%ab%e7%86%b1%e9%80%a2%e6%ba%90%5f%31/index.html")</f>
        <v>https://jicheng.tw/tcm/book/%e6%ba%ab%e7%86%b1%e9%80%a2%e6%ba%90%5f%31/index.html</v>
      </c>
    </row>
    <row r="551" spans="1:10">
      <c r="A551" s="10" t="s">
        <v>1746</v>
      </c>
      <c r="B551" s="10"/>
      <c r="C551" s="10"/>
      <c r="D551" t="s">
        <v>1750</v>
      </c>
      <c r="E551" t="s">
        <v>563</v>
      </c>
      <c r="F551" t="s">
        <v>2896</v>
      </c>
      <c r="G551" s="14" t="s">
        <v>2743</v>
      </c>
      <c r="H551" s="14">
        <v>1642</v>
      </c>
      <c r="J551" t="str">
        <f>HYPERLINK("https://jicheng.tw/tcm/book/%e6%ba%ab%e7%96%ab%e8%ab%96/index.html")</f>
        <v>https://jicheng.tw/tcm/book/%e6%ba%ab%e7%96%ab%e8%ab%96/index.html</v>
      </c>
    </row>
    <row r="552" spans="1:10">
      <c r="A552" s="10" t="s">
        <v>1746</v>
      </c>
      <c r="B552" s="10"/>
      <c r="C552" s="10"/>
      <c r="D552" t="s">
        <v>1751</v>
      </c>
      <c r="E552" t="s">
        <v>564</v>
      </c>
      <c r="F552" t="s">
        <v>2896</v>
      </c>
      <c r="G552" s="14" t="s">
        <v>2743</v>
      </c>
      <c r="J552" t="str">
        <f>HYPERLINK("https://jicheng.tw/tcm/book/%e6%ba%ab%e7%96%ab%e8%ab%96%5f%31/index.html")</f>
        <v>https://jicheng.tw/tcm/book/%e6%ba%ab%e7%96%ab%e8%ab%96%5f%31/index.html</v>
      </c>
    </row>
    <row r="553" spans="1:10">
      <c r="A553" s="10" t="s">
        <v>1746</v>
      </c>
      <c r="B553" s="10"/>
      <c r="C553" s="10"/>
      <c r="D553" t="s">
        <v>565</v>
      </c>
      <c r="E553" t="s">
        <v>565</v>
      </c>
      <c r="F553" t="s">
        <v>2897</v>
      </c>
      <c r="G553" s="14" t="s">
        <v>2743</v>
      </c>
      <c r="J553" t="str">
        <f>HYPERLINK("https://jicheng.tw/tcm/book/%e5%a2%9e%e8%a8%82%e8%91%89%e8%a9%95%e5%82%b7%e6%9a%91%e5%85%a8%e6%9b%b8/index.html")</f>
        <v>https://jicheng.tw/tcm/book/%e5%a2%9e%e8%a8%82%e8%91%89%e8%a9%95%e5%82%b7%e6%9a%91%e5%85%a8%e6%9b%b8/index.html</v>
      </c>
    </row>
    <row r="554" spans="1:10">
      <c r="A554" s="10" t="s">
        <v>1746</v>
      </c>
      <c r="B554" s="10"/>
      <c r="C554" s="10"/>
      <c r="D554" t="s">
        <v>1752</v>
      </c>
      <c r="E554" t="s">
        <v>566</v>
      </c>
      <c r="F554" t="s">
        <v>2898</v>
      </c>
      <c r="G554" s="14" t="s">
        <v>2710</v>
      </c>
      <c r="H554" s="14">
        <v>1911</v>
      </c>
      <c r="J554" t="str">
        <f>HYPERLINK("https://jicheng.tw/tcm/book/%e9%87%8d%e8%a8%82%e5%bb%a3%e6%ba%ab%e7%86%b1%e8%ab%96/index.html")</f>
        <v>https://jicheng.tw/tcm/book/%e9%87%8d%e8%a8%82%e5%bb%a3%e6%ba%ab%e7%86%b1%e8%ab%96/index.html</v>
      </c>
    </row>
    <row r="555" spans="1:10">
      <c r="A555" s="10" t="s">
        <v>1746</v>
      </c>
      <c r="B555" s="10"/>
      <c r="C555" s="10"/>
      <c r="D555" t="s">
        <v>1753</v>
      </c>
      <c r="E555" t="s">
        <v>567</v>
      </c>
      <c r="F555" t="s">
        <v>2899</v>
      </c>
      <c r="G555" s="14" t="s">
        <v>2710</v>
      </c>
      <c r="H555" s="14">
        <v>1903</v>
      </c>
      <c r="J555" t="str">
        <f>HYPERLINK("https://jicheng.tw/tcm/book/%e6%ba%ab%e7%97%85%e6%8c%87%e5%8d%97/index.html")</f>
        <v>https://jicheng.tw/tcm/book/%e6%ba%ab%e7%97%85%e6%8c%87%e5%8d%97/index.html</v>
      </c>
    </row>
    <row r="556" spans="1:10">
      <c r="A556" s="10" t="s">
        <v>1746</v>
      </c>
      <c r="B556" s="10"/>
      <c r="C556" s="10"/>
      <c r="D556" t="s">
        <v>1754</v>
      </c>
      <c r="E556" t="s">
        <v>568</v>
      </c>
      <c r="F556" t="s">
        <v>2744</v>
      </c>
      <c r="G556" s="14" t="s">
        <v>2710</v>
      </c>
      <c r="H556" s="14">
        <v>1852</v>
      </c>
      <c r="J556" t="str">
        <f>HYPERLINK("https://jicheng.tw/tcm/book/%e6%ba%ab%e7%86%b1%e7%b6%93%e7%b7%af/index.html")</f>
        <v>https://jicheng.tw/tcm/book/%e6%ba%ab%e7%86%b1%e7%b6%93%e7%b7%af/index.html</v>
      </c>
    </row>
    <row r="557" spans="1:10">
      <c r="A557" s="10" t="s">
        <v>1746</v>
      </c>
      <c r="B557" s="10"/>
      <c r="C557" s="10"/>
      <c r="D557" t="s">
        <v>1755</v>
      </c>
      <c r="E557" t="s">
        <v>569</v>
      </c>
      <c r="F557" t="s">
        <v>2900</v>
      </c>
      <c r="G557" s="14" t="s">
        <v>2710</v>
      </c>
      <c r="J557" t="str">
        <f>HYPERLINK("https://jicheng.tw/tcm/book/%e4%b8%89%e6%99%82%e4%bc%8f%e6%b0%a3%e5%a4%96%e6%84%9f%e7%af%87%5f%31/index.html")</f>
        <v>https://jicheng.tw/tcm/book/%e4%b8%89%e6%99%82%e4%bc%8f%e6%b0%a3%e5%a4%96%e6%84%9f%e7%af%87%5f%31/index.html</v>
      </c>
    </row>
    <row r="558" spans="1:10">
      <c r="A558" s="10" t="s">
        <v>1746</v>
      </c>
      <c r="B558" s="10"/>
      <c r="C558" s="10"/>
      <c r="D558" t="s">
        <v>1756</v>
      </c>
      <c r="E558" t="s">
        <v>570</v>
      </c>
      <c r="F558" t="s">
        <v>2901</v>
      </c>
      <c r="G558" s="14" t="s">
        <v>2710</v>
      </c>
      <c r="J558" t="str">
        <f>HYPERLINK("https://jicheng.tw/tcm/book/%e5%a4%96%e6%84%9f%e6%ba%ab%e7%97%85%e7%af%87%5f%31/index.html")</f>
        <v>https://jicheng.tw/tcm/book/%e5%a4%96%e6%84%9f%e6%ba%ab%e7%97%85%e7%af%87%5f%31/index.html</v>
      </c>
    </row>
    <row r="559" spans="1:10">
      <c r="A559" s="10" t="s">
        <v>1746</v>
      </c>
      <c r="B559" s="10"/>
      <c r="C559" s="10"/>
      <c r="D559" t="s">
        <v>1757</v>
      </c>
      <c r="E559" t="s">
        <v>571</v>
      </c>
      <c r="F559" t="s">
        <v>2902</v>
      </c>
      <c r="G559" s="14" t="s">
        <v>2710</v>
      </c>
      <c r="J559" t="str">
        <f>HYPERLINK("https://jicheng.tw/tcm/book/%e6%bf%95%e7%86%b1%e7%97%85%e7%af%87%5f%31/index.html")</f>
        <v>https://jicheng.tw/tcm/book/%e6%bf%95%e7%86%b1%e7%97%85%e7%af%87%5f%31/index.html</v>
      </c>
    </row>
    <row r="560" spans="1:10">
      <c r="A560" s="10" t="s">
        <v>1746</v>
      </c>
      <c r="B560" s="10"/>
      <c r="C560" s="10"/>
      <c r="D560" t="s">
        <v>1758</v>
      </c>
      <c r="E560" t="s">
        <v>572</v>
      </c>
      <c r="F560" t="s">
        <v>2903</v>
      </c>
      <c r="G560" s="14" t="s">
        <v>2710</v>
      </c>
      <c r="H560" s="14">
        <v>1798</v>
      </c>
      <c r="J560" t="str">
        <f>HYPERLINK("https://jicheng.tw/tcm/book/%e6%ba%ab%e7%97%85%e6%a2%9d%e8%be%a8/index.html")</f>
        <v>https://jicheng.tw/tcm/book/%e6%ba%ab%e7%97%85%e6%a2%9d%e8%be%a8/index.html</v>
      </c>
    </row>
    <row r="561" spans="1:10">
      <c r="A561" s="10" t="s">
        <v>1746</v>
      </c>
      <c r="B561" s="10"/>
      <c r="C561" s="10"/>
      <c r="D561" t="s">
        <v>1759</v>
      </c>
      <c r="E561" t="s">
        <v>573</v>
      </c>
      <c r="F561" t="s">
        <v>2903</v>
      </c>
      <c r="G561" s="14" t="s">
        <v>2710</v>
      </c>
      <c r="J561" t="str">
        <f>HYPERLINK("https://jicheng.tw/tcm/book/%e6%ba%ab%e7%97%85%e6%a2%9d%e8%be%a8%5f%31/index.html")</f>
        <v>https://jicheng.tw/tcm/book/%e6%ba%ab%e7%97%85%e6%a2%9d%e8%be%a8%5f%31/index.html</v>
      </c>
    </row>
    <row r="562" spans="1:10">
      <c r="A562" s="10" t="s">
        <v>1746</v>
      </c>
      <c r="B562" s="10"/>
      <c r="C562" s="10"/>
      <c r="D562" t="s">
        <v>1760</v>
      </c>
      <c r="E562" t="s">
        <v>574</v>
      </c>
      <c r="J562" t="str">
        <f>HYPERLINK("https://jicheng.tw/tcm/book/%e6%ba%ab%e7%97%85%e6%a2%9d%e8%be%a8%5f%e6%a2%9d%e5%88%97%e7%89%88/index.html")</f>
        <v>https://jicheng.tw/tcm/book/%e6%ba%ab%e7%97%85%e6%a2%9d%e8%be%a8%5f%e6%a2%9d%e5%88%97%e7%89%88/index.html</v>
      </c>
    </row>
    <row r="563" spans="1:10">
      <c r="A563" s="10" t="s">
        <v>1746</v>
      </c>
      <c r="B563" s="10"/>
      <c r="C563" s="10"/>
      <c r="D563" t="s">
        <v>1761</v>
      </c>
      <c r="E563" t="s">
        <v>575</v>
      </c>
      <c r="F563" t="s">
        <v>2904</v>
      </c>
      <c r="G563" s="14" t="s">
        <v>2740</v>
      </c>
      <c r="H563" s="14">
        <v>1935</v>
      </c>
      <c r="J563" t="str">
        <f>HYPERLINK("https://jicheng.tw/tcm/book/%e6%ba%ab%e7%97%85%e6%ad%a3%e5%ae%97/index.html")</f>
        <v>https://jicheng.tw/tcm/book/%e6%ba%ab%e7%97%85%e6%ad%a3%e5%ae%97/index.html</v>
      </c>
    </row>
    <row r="564" spans="1:10">
      <c r="A564" s="10" t="s">
        <v>1746</v>
      </c>
      <c r="B564" s="10"/>
      <c r="C564" s="10"/>
      <c r="D564" t="s">
        <v>1762</v>
      </c>
      <c r="E564" t="s">
        <v>576</v>
      </c>
      <c r="F564" t="s">
        <v>2905</v>
      </c>
      <c r="G564" s="14" t="s">
        <v>2740</v>
      </c>
      <c r="J564" t="str">
        <f>HYPERLINK("https://jicheng.tw/tcm/book/%e9%87%8d%e8%a8%82%e6%ba%ab%e7%86%b1%e7%b6%93%e8%a7%a3/index.html")</f>
        <v>https://jicheng.tw/tcm/book/%e9%87%8d%e8%a8%82%e6%ba%ab%e7%86%b1%e7%b6%93%e8%a7%a3/index.html</v>
      </c>
    </row>
    <row r="565" spans="1:10">
      <c r="A565" s="10" t="s">
        <v>1746</v>
      </c>
      <c r="B565" s="10"/>
      <c r="C565" s="10"/>
      <c r="D565" t="s">
        <v>1763</v>
      </c>
      <c r="E565" t="s">
        <v>577</v>
      </c>
      <c r="F565" t="s">
        <v>2906</v>
      </c>
      <c r="G565" s="14" t="s">
        <v>2710</v>
      </c>
      <c r="H565" s="14">
        <v>1888</v>
      </c>
      <c r="J565" t="str">
        <f>HYPERLINK("https://jicheng.tw/tcm/book/%e9%86%ab%e5%af%84%e4%bc%8f%e9%99%b0%e8%ab%96/index.html")</f>
        <v>https://jicheng.tw/tcm/book/%e9%86%ab%e5%af%84%e4%bc%8f%e9%99%b0%e8%ab%96/index.html</v>
      </c>
    </row>
    <row r="566" spans="1:10">
      <c r="A566" s="10" t="s">
        <v>1746</v>
      </c>
      <c r="B566" s="10"/>
      <c r="C566" s="10"/>
      <c r="D566" t="s">
        <v>1764</v>
      </c>
      <c r="E566" t="s">
        <v>578</v>
      </c>
      <c r="F566" t="s">
        <v>2907</v>
      </c>
      <c r="G566" s="14" t="s">
        <v>2710</v>
      </c>
      <c r="H566" s="14">
        <v>1862</v>
      </c>
      <c r="J566" t="str">
        <f>HYPERLINK("https://jicheng.tw/tcm/book/%e8%96%9b%e6%b0%8f%e6%bf%95%e7%86%b1%e8%ab%96%e6%ad%8c%e8%a8%a3/index.html")</f>
        <v>https://jicheng.tw/tcm/book/%e8%96%9b%e6%b0%8f%e6%bf%95%e7%86%b1%e8%ab%96%e6%ad%8c%e8%a8%a3/index.html</v>
      </c>
    </row>
    <row r="567" spans="1:10">
      <c r="A567" s="10" t="s">
        <v>1746</v>
      </c>
      <c r="B567" s="10"/>
      <c r="C567" s="10"/>
      <c r="D567" t="s">
        <v>1765</v>
      </c>
      <c r="E567" t="s">
        <v>579</v>
      </c>
      <c r="F567" t="s">
        <v>2900</v>
      </c>
      <c r="G567" s="14" t="s">
        <v>2710</v>
      </c>
      <c r="J567" t="str">
        <f>HYPERLINK("https://jicheng.tw/tcm/book/%e6%ba%ab%e7%86%b1%e8%ab%96%e7%ae%8b%e6%ad%a3/index.html")</f>
        <v>https://jicheng.tw/tcm/book/%e6%ba%ab%e7%86%b1%e8%ab%96%e7%ae%8b%e6%ad%a3/index.html</v>
      </c>
    </row>
    <row r="568" spans="1:10">
      <c r="A568" s="10" t="s">
        <v>1746</v>
      </c>
      <c r="B568" s="10"/>
      <c r="C568" s="10"/>
      <c r="D568" t="s">
        <v>1766</v>
      </c>
      <c r="E568" t="s">
        <v>580</v>
      </c>
      <c r="F568" t="s">
        <v>2908</v>
      </c>
      <c r="G568" s="14" t="s">
        <v>2710</v>
      </c>
      <c r="H568" s="14">
        <v>1868</v>
      </c>
      <c r="J568" t="str">
        <f>HYPERLINK("https://jicheng.tw/tcm/book/%e5%85%ad%e5%9b%a0%e6%a2%9d%e8%be%a8/index.html")</f>
        <v>https://jicheng.tw/tcm/book/%e5%85%ad%e5%9b%a0%e6%a2%9d%e8%be%a8/index.html</v>
      </c>
    </row>
    <row r="569" spans="1:10">
      <c r="A569" s="10" t="s">
        <v>1746</v>
      </c>
      <c r="B569" s="10"/>
      <c r="C569" s="10"/>
      <c r="D569" t="s">
        <v>1767</v>
      </c>
      <c r="E569" t="s">
        <v>581</v>
      </c>
      <c r="F569" t="s">
        <v>2909</v>
      </c>
      <c r="G569" s="14" t="s">
        <v>2710</v>
      </c>
      <c r="H569" s="14">
        <v>1898</v>
      </c>
      <c r="J569" t="str">
        <f>HYPERLINK("https://jicheng.tw/tcm/book/%e5%85%ad%e6%b0%a3%e6%84%9f%e8%ad%89%e8%a6%81%e7%be%a9/index.html")</f>
        <v>https://jicheng.tw/tcm/book/%e5%85%ad%e6%b0%a3%e6%84%9f%e8%ad%89%e8%a6%81%e7%be%a9/index.html</v>
      </c>
    </row>
    <row r="570" spans="1:10">
      <c r="A570" s="10" t="s">
        <v>1746</v>
      </c>
      <c r="B570" s="10"/>
      <c r="C570" s="10"/>
      <c r="D570" t="s">
        <v>1768</v>
      </c>
      <c r="E570" t="s">
        <v>582</v>
      </c>
      <c r="F570" t="s">
        <v>2910</v>
      </c>
      <c r="G570" s="14" t="s">
        <v>2710</v>
      </c>
      <c r="J570" t="str">
        <f>HYPERLINK("https://jicheng.tw/tcm/book/%e6%ba%ab%e7%97%85%e8%be%a8%e7%97%87/index.html")</f>
        <v>https://jicheng.tw/tcm/book/%e6%ba%ab%e7%97%85%e8%be%a8%e7%97%87/index.html</v>
      </c>
    </row>
    <row r="571" spans="1:10">
      <c r="A571" s="10" t="s">
        <v>1746</v>
      </c>
      <c r="B571" s="10"/>
      <c r="C571" s="10"/>
      <c r="D571" t="s">
        <v>1769</v>
      </c>
      <c r="E571" t="s">
        <v>583</v>
      </c>
      <c r="F571" t="s">
        <v>2902</v>
      </c>
      <c r="G571" s="14" t="s">
        <v>2710</v>
      </c>
      <c r="H571" s="14">
        <v>1770</v>
      </c>
      <c r="J571" t="str">
        <f>HYPERLINK("https://jicheng.tw/tcm/book/%e6%bf%95%e7%86%b1%e6%a2%9d%e8%be%a8/index.html")</f>
        <v>https://jicheng.tw/tcm/book/%e6%bf%95%e7%86%b1%e6%a2%9d%e8%be%a8/index.html</v>
      </c>
    </row>
    <row r="572" spans="1:10">
      <c r="A572" s="10" t="s">
        <v>1746</v>
      </c>
      <c r="B572" s="10"/>
      <c r="C572" s="10"/>
      <c r="D572" t="s">
        <v>1770</v>
      </c>
      <c r="E572" t="s">
        <v>584</v>
      </c>
      <c r="F572" t="s">
        <v>2911</v>
      </c>
      <c r="G572" s="14" t="s">
        <v>2740</v>
      </c>
      <c r="H572" s="14">
        <v>1920</v>
      </c>
      <c r="J572" t="str">
        <f>HYPERLINK("https://jicheng.tw/tcm/book/%e4%b8%ad%e8%a5%bf%e6%ba%ab%e7%86%b1%e4%b8%b2%e8%a7%a3/index.html")</f>
        <v>https://jicheng.tw/tcm/book/%e4%b8%ad%e8%a5%bf%e6%ba%ab%e7%86%b1%e4%b8%b2%e8%a7%a3/index.html</v>
      </c>
    </row>
    <row r="573" spans="1:10">
      <c r="A573" s="10" t="s">
        <v>1746</v>
      </c>
      <c r="B573" s="10"/>
      <c r="C573" s="10"/>
      <c r="D573" t="s">
        <v>1771</v>
      </c>
      <c r="E573" t="s">
        <v>585</v>
      </c>
      <c r="F573" t="s">
        <v>2912</v>
      </c>
      <c r="J573" t="str">
        <f>HYPERLINK("https://jicheng.tw/tcm/book/%e6%ba%ab%e7%96%ab%e8%ab%96%e7%a7%81%e8%a9%95/index.html")</f>
        <v>https://jicheng.tw/tcm/book/%e6%ba%ab%e7%96%ab%e8%ab%96%e7%a7%81%e8%a9%95/index.html</v>
      </c>
    </row>
    <row r="574" spans="1:10">
      <c r="A574" s="10" t="s">
        <v>1746</v>
      </c>
      <c r="B574" s="10"/>
      <c r="C574" s="10"/>
      <c r="D574" t="s">
        <v>1772</v>
      </c>
      <c r="E574" t="s">
        <v>586</v>
      </c>
      <c r="F574" t="s">
        <v>2913</v>
      </c>
      <c r="G574" s="14" t="s">
        <v>2710</v>
      </c>
      <c r="H574" s="14">
        <v>1675</v>
      </c>
      <c r="J574" t="str">
        <f>HYPERLINK("https://jicheng.tw/tcm/book/%e5%bb%a3%e7%98%9f%e7%96%ab%e8%ab%96/index.html")</f>
        <v>https://jicheng.tw/tcm/book/%e5%bb%a3%e7%98%9f%e7%96%ab%e8%ab%96/index.html</v>
      </c>
    </row>
    <row r="575" spans="1:10">
      <c r="A575" s="10" t="s">
        <v>1746</v>
      </c>
      <c r="B575" s="10"/>
      <c r="C575" s="10"/>
      <c r="D575" t="s">
        <v>1773</v>
      </c>
      <c r="E575" t="s">
        <v>587</v>
      </c>
      <c r="F575" t="s">
        <v>2913</v>
      </c>
      <c r="G575" s="14" t="s">
        <v>2710</v>
      </c>
      <c r="J575" t="str">
        <f>HYPERLINK("https://jicheng.tw/tcm/book/%e5%bb%a3%e7%98%9f%e7%96%ab%e8%ab%96%5f%31/index.html")</f>
        <v>https://jicheng.tw/tcm/book/%e5%bb%a3%e7%98%9f%e7%96%ab%e8%ab%96%5f%31/index.html</v>
      </c>
    </row>
    <row r="576" spans="1:10">
      <c r="A576" s="10" t="s">
        <v>1746</v>
      </c>
      <c r="B576" s="10"/>
      <c r="C576" s="10"/>
      <c r="D576" t="s">
        <v>1774</v>
      </c>
      <c r="E576" s="1" t="s">
        <v>588</v>
      </c>
      <c r="F576" t="s">
        <v>2907</v>
      </c>
      <c r="G576" s="14" t="s">
        <v>2710</v>
      </c>
      <c r="J576" s="1" t="str">
        <f>HYPERLINK("https://jicheng.tw/tcm/book/%e5%90%b3%e5%8f%88%e5%8f%af%e6%ba%ab%e7%96%ab%e8%ab%96%e6%ad%8c%e6%8b%ac/index.html")</f>
        <v>https://jicheng.tw/tcm/book/%e5%90%b3%e5%8f%88%e5%8f%af%e6%ba%ab%e7%96%ab%e8%ab%96%e6%ad%8c%e6%8b%ac/index.html</v>
      </c>
    </row>
    <row r="577" spans="1:10">
      <c r="A577" s="10" t="s">
        <v>1746</v>
      </c>
      <c r="B577" s="10"/>
      <c r="C577" s="10"/>
      <c r="D577" t="s">
        <v>1775</v>
      </c>
      <c r="E577" t="s">
        <v>589</v>
      </c>
      <c r="F577" t="s">
        <v>2914</v>
      </c>
      <c r="J577" t="str">
        <f>HYPERLINK("https://jicheng.tw/tcm/book/%e6%ba%ab%e7%97%85%e4%b9%8b%e7%a0%94%e7%a9%b6/index.html")</f>
        <v>https://jicheng.tw/tcm/book/%e6%ba%ab%e7%97%85%e4%b9%8b%e7%a0%94%e7%a9%b6/index.html</v>
      </c>
    </row>
    <row r="578" spans="1:10">
      <c r="A578" s="10" t="s">
        <v>1746</v>
      </c>
      <c r="B578" s="10"/>
      <c r="C578" s="10"/>
      <c r="D578" t="s">
        <v>590</v>
      </c>
      <c r="E578" t="s">
        <v>590</v>
      </c>
      <c r="F578" t="s">
        <v>2915</v>
      </c>
      <c r="G578" s="14" t="s">
        <v>2710</v>
      </c>
      <c r="J578" t="str">
        <f>HYPERLINK("https://jicheng.tw/tcm/book/%e4%bb%bf%e5%af%93%e6%84%8f%e8%8d%89/index.html")</f>
        <v>https://jicheng.tw/tcm/book/%e4%bb%bf%e5%af%93%e6%84%8f%e8%8d%89/index.html</v>
      </c>
    </row>
    <row r="579" spans="1:10">
      <c r="A579" s="10" t="s">
        <v>1746</v>
      </c>
      <c r="B579" s="10"/>
      <c r="C579" s="10"/>
      <c r="D579" t="s">
        <v>1776</v>
      </c>
      <c r="E579" t="s">
        <v>591</v>
      </c>
      <c r="F579" t="s">
        <v>2916</v>
      </c>
      <c r="G579" s="14" t="s">
        <v>2740</v>
      </c>
      <c r="H579" s="14">
        <v>1920</v>
      </c>
      <c r="J579" t="str">
        <f>HYPERLINK("https://jicheng.tw/tcm/book/%e4%bc%8f%e7%98%9f%e8%ad%89%e6%b2%bb%e5%af%a6%e9%a9%97%e8%ab%87/index.html")</f>
        <v>https://jicheng.tw/tcm/book/%e4%bc%8f%e7%98%9f%e8%ad%89%e6%b2%bb%e5%af%a6%e9%a9%97%e8%ab%87/index.html</v>
      </c>
    </row>
    <row r="580" spans="1:10">
      <c r="A580" s="10" t="s">
        <v>1746</v>
      </c>
      <c r="B580" s="10"/>
      <c r="C580" s="10"/>
      <c r="D580" t="s">
        <v>592</v>
      </c>
      <c r="E580" t="s">
        <v>592</v>
      </c>
      <c r="F580" t="s">
        <v>2917</v>
      </c>
      <c r="G580" s="14" t="s">
        <v>2710</v>
      </c>
      <c r="H580" s="14">
        <v>1911</v>
      </c>
      <c r="J580" t="str">
        <f>HYPERLINK("https://jicheng.tw/tcm/book/%e4%bc%8f%e9%82%aa%e6%96%b0%e6%9b%b8/index.html")</f>
        <v>https://jicheng.tw/tcm/book/%e4%bc%8f%e9%82%aa%e6%96%b0%e6%9b%b8/index.html</v>
      </c>
    </row>
    <row r="581" spans="1:10">
      <c r="A581" s="10" t="s">
        <v>1746</v>
      </c>
      <c r="B581" s="10"/>
      <c r="C581" s="10"/>
      <c r="D581" t="s">
        <v>593</v>
      </c>
      <c r="E581" t="s">
        <v>593</v>
      </c>
      <c r="F581" t="s">
        <v>2918</v>
      </c>
      <c r="G581" s="14" t="s">
        <v>2710</v>
      </c>
      <c r="H581" s="14">
        <v>1878</v>
      </c>
      <c r="J581" t="str">
        <f>HYPERLINK("https://jicheng.tw/tcm/book/%e5%8d%97%e7%97%85%e5%88%a5%e9%91%91/index.html")</f>
        <v>https://jicheng.tw/tcm/book/%e5%8d%97%e7%97%85%e5%88%a5%e9%91%91/index.html</v>
      </c>
    </row>
    <row r="582" spans="1:10">
      <c r="A582" s="10" t="s">
        <v>1746</v>
      </c>
      <c r="B582" s="10"/>
      <c r="C582" s="10"/>
      <c r="D582" t="s">
        <v>1777</v>
      </c>
      <c r="E582" t="s">
        <v>594</v>
      </c>
      <c r="F582" t="s">
        <v>2919</v>
      </c>
      <c r="G582" s="14" t="s">
        <v>2710</v>
      </c>
      <c r="H582" s="14">
        <v>1799</v>
      </c>
      <c r="J582" t="str">
        <f>HYPERLINK("https://jicheng.tw/tcm/book/%e6%ba%ab%e8%ad%89%e6%8c%87%e6%ad%b8/index.html")</f>
        <v>https://jicheng.tw/tcm/book/%e6%ba%ab%e8%ad%89%e6%8c%87%e6%ad%b8/index.html</v>
      </c>
    </row>
    <row r="583" spans="1:10">
      <c r="A583" s="10" t="s">
        <v>1746</v>
      </c>
      <c r="B583" s="10"/>
      <c r="C583" s="10"/>
      <c r="D583" t="s">
        <v>595</v>
      </c>
      <c r="E583" t="s">
        <v>595</v>
      </c>
      <c r="F583" t="s">
        <v>2920</v>
      </c>
      <c r="G583" s="14" t="s">
        <v>2710</v>
      </c>
      <c r="H583" s="14">
        <v>1794</v>
      </c>
      <c r="J583" t="str">
        <f>HYPERLINK("https://jicheng.tw/tcm/book/%e7%96%ab%e7%96%b9%e4%b8%80%e5%be%97/index.html")</f>
        <v>https://jicheng.tw/tcm/book/%e7%96%ab%e7%96%b9%e4%b8%80%e5%be%97/index.html</v>
      </c>
    </row>
    <row r="584" spans="1:10">
      <c r="A584" s="10" t="s">
        <v>1746</v>
      </c>
      <c r="B584" s="10"/>
      <c r="C584" s="10"/>
      <c r="D584" t="s">
        <v>1778</v>
      </c>
      <c r="E584" t="s">
        <v>596</v>
      </c>
      <c r="F584" t="s">
        <v>2887</v>
      </c>
      <c r="G584" s="14" t="s">
        <v>2710</v>
      </c>
      <c r="H584" s="14">
        <v>1679</v>
      </c>
      <c r="J584" t="str">
        <f>HYPERLINK("https://jicheng.tw/tcm/book/%e6%ba%ab%e7%86%b1%e6%9a%91%e7%96%ab%e5%85%a8%e6%9b%b8/index.html")</f>
        <v>https://jicheng.tw/tcm/book/%e6%ba%ab%e7%86%b1%e6%9a%91%e7%96%ab%e5%85%a8%e6%9b%b8/index.html</v>
      </c>
    </row>
    <row r="585" spans="1:10">
      <c r="A585" s="10" t="s">
        <v>1746</v>
      </c>
      <c r="B585" s="10"/>
      <c r="C585" s="10"/>
      <c r="D585" t="s">
        <v>1779</v>
      </c>
      <c r="E585" t="s">
        <v>597</v>
      </c>
      <c r="F585" t="s">
        <v>2907</v>
      </c>
      <c r="G585" s="14" t="s">
        <v>2710</v>
      </c>
      <c r="J585" t="str">
        <f>HYPERLINK("https://jicheng.tw/tcm/book/%e6%ba%ab%e7%96%ab%e6%98%8e%e8%be%a8%e6%ad%8c%e8%a8%a3/index.html")</f>
        <v>https://jicheng.tw/tcm/book/%e6%ba%ab%e7%96%ab%e6%98%8e%e8%be%a8%e6%ad%8c%e8%a8%a3/index.html</v>
      </c>
    </row>
    <row r="586" spans="1:10">
      <c r="A586" s="10" t="s">
        <v>1746</v>
      </c>
      <c r="B586" s="10"/>
      <c r="C586" s="10"/>
      <c r="D586" t="s">
        <v>1780</v>
      </c>
      <c r="E586" t="s">
        <v>598</v>
      </c>
      <c r="F586" t="s">
        <v>2845</v>
      </c>
      <c r="G586" s="14" t="s">
        <v>2710</v>
      </c>
      <c r="J586" t="str">
        <f>HYPERLINK("https://jicheng.tw/tcm/book/%e6%bf%95%e6%ba%ab%e6%99%82%e7%96%ab%e6%b2%bb%e7%99%82%e6%b3%95/index.html")</f>
        <v>https://jicheng.tw/tcm/book/%e6%bf%95%e6%ba%ab%e6%99%82%e7%96%ab%e6%b2%bb%e7%99%82%e6%b3%95/index.html</v>
      </c>
    </row>
    <row r="587" spans="1:10">
      <c r="A587" s="10" t="s">
        <v>1746</v>
      </c>
      <c r="B587" s="10"/>
      <c r="C587" s="10"/>
      <c r="D587" t="s">
        <v>1781</v>
      </c>
      <c r="E587" t="s">
        <v>599</v>
      </c>
      <c r="F587" t="s">
        <v>2921</v>
      </c>
      <c r="G587" s="14" t="s">
        <v>2710</v>
      </c>
      <c r="H587" s="14">
        <v>1800</v>
      </c>
      <c r="J587" t="str">
        <f>HYPERLINK("https://jicheng.tw/tcm/book/%e8%be%a8%e7%96%ab%e7%91%a3%e8%a8%80/index.html")</f>
        <v>https://jicheng.tw/tcm/book/%e8%be%a8%e7%96%ab%e7%91%a3%e8%a8%80/index.html</v>
      </c>
    </row>
    <row r="588" spans="1:10">
      <c r="A588" s="10" t="s">
        <v>1746</v>
      </c>
      <c r="B588" s="10"/>
      <c r="C588" s="10"/>
      <c r="D588" t="s">
        <v>600</v>
      </c>
      <c r="E588" t="s">
        <v>600</v>
      </c>
      <c r="F588" t="s">
        <v>2922</v>
      </c>
      <c r="G588" s="14" t="s">
        <v>2710</v>
      </c>
      <c r="J588" t="str">
        <f>HYPERLINK("https://jicheng.tw/tcm/book/%e9%84%92%e6%b0%8f%e5%af%92%e7%96%ab%e8%ab%96/index.html")</f>
        <v>https://jicheng.tw/tcm/book/%e9%84%92%e6%b0%8f%e5%af%92%e7%96%ab%e8%ab%96/index.html</v>
      </c>
    </row>
    <row r="589" spans="1:10">
      <c r="A589" s="10" t="s">
        <v>1746</v>
      </c>
      <c r="B589" s="10"/>
      <c r="C589" s="10"/>
      <c r="D589" t="s">
        <v>601</v>
      </c>
      <c r="E589" t="s">
        <v>601</v>
      </c>
      <c r="F589" t="s">
        <v>2923</v>
      </c>
      <c r="G589" s="14" t="s">
        <v>2710</v>
      </c>
      <c r="H589" s="14">
        <v>1675</v>
      </c>
      <c r="J589" t="str">
        <f>HYPERLINK("https://jicheng.tw/tcm/book/%e7%97%a7%e8%84%b9%e7%8e%89%e8%a1%a1/index.html")</f>
        <v>https://jicheng.tw/tcm/book/%e7%97%a7%e8%84%b9%e7%8e%89%e8%a1%a1/index.html</v>
      </c>
    </row>
    <row r="590" spans="1:10">
      <c r="A590" s="10" t="s">
        <v>1746</v>
      </c>
      <c r="B590" s="10"/>
      <c r="C590" s="10"/>
      <c r="D590" t="s">
        <v>602</v>
      </c>
      <c r="E590" t="s">
        <v>602</v>
      </c>
      <c r="F590" t="s">
        <v>2924</v>
      </c>
      <c r="G590" s="14" t="s">
        <v>2743</v>
      </c>
      <c r="H590" s="14">
        <v>1609</v>
      </c>
      <c r="J590" t="str">
        <f>HYPERLINK("https://jicheng.tw/tcm/book/%e7%98%b4%e7%98%a7%e6%8c%87%e5%8d%97/index.html")</f>
        <v>https://jicheng.tw/tcm/book/%e7%98%b4%e7%98%a7%e6%8c%87%e5%8d%97/index.html</v>
      </c>
    </row>
    <row r="591" spans="1:10">
      <c r="A591" s="10" t="s">
        <v>1746</v>
      </c>
      <c r="B591" s="10"/>
      <c r="C591" s="10"/>
      <c r="D591" t="s">
        <v>1782</v>
      </c>
      <c r="E591" t="s">
        <v>603</v>
      </c>
      <c r="F591" t="s">
        <v>2925</v>
      </c>
      <c r="G591" s="14" t="s">
        <v>2710</v>
      </c>
      <c r="H591" s="14">
        <v>1758</v>
      </c>
      <c r="J591" t="str">
        <f>HYPERLINK("https://jicheng.tw/tcm/book/%e6%9d%be%e5%b3%b0%e8%aa%aa%e7%96%ab/index.html")</f>
        <v>https://jicheng.tw/tcm/book/%e6%9d%be%e5%b3%b0%e8%aa%aa%e7%96%ab/index.html</v>
      </c>
    </row>
    <row r="592" spans="1:10">
      <c r="A592" s="10" t="s">
        <v>1746</v>
      </c>
      <c r="B592" s="10"/>
      <c r="C592" s="10"/>
      <c r="D592" t="s">
        <v>1783</v>
      </c>
      <c r="E592" t="s">
        <v>604</v>
      </c>
      <c r="F592" t="s">
        <v>2744</v>
      </c>
      <c r="G592" s="14" t="s">
        <v>2710</v>
      </c>
      <c r="H592" s="14">
        <v>1862</v>
      </c>
      <c r="J592" t="str">
        <f>HYPERLINK("https://jicheng.tw/tcm/book/%e9%9a%a8%e6%81%af%e5%b1%85%e9%87%8d%e8%a8%82%e9%9c%8d%e4%ba%82%e8%ab%96/index.html")</f>
        <v>https://jicheng.tw/tcm/book/%e9%9a%a8%e6%81%af%e5%b1%85%e9%87%8d%e8%a8%82%e9%9c%8d%e4%ba%82%e8%ab%96/index.html</v>
      </c>
    </row>
    <row r="593" spans="1:10">
      <c r="A593" s="10" t="s">
        <v>1746</v>
      </c>
      <c r="B593" s="10"/>
      <c r="C593" s="10"/>
      <c r="D593" t="s">
        <v>605</v>
      </c>
      <c r="E593" t="s">
        <v>605</v>
      </c>
      <c r="F593" t="s">
        <v>2926</v>
      </c>
      <c r="G593" s="14" t="s">
        <v>2710</v>
      </c>
      <c r="H593" s="14">
        <v>1901</v>
      </c>
      <c r="J593" t="str">
        <f>HYPERLINK("https://jicheng.tw/tcm/book/%e9%bc%a0%e7%96%ab%e7%b4%84%e7%b7%a8/index.html")</f>
        <v>https://jicheng.tw/tcm/book/%e9%bc%a0%e7%96%ab%e7%b4%84%e7%b7%a8/index.html</v>
      </c>
    </row>
    <row r="594" spans="1:10">
      <c r="A594" s="10" t="s">
        <v>1746</v>
      </c>
      <c r="B594" s="10"/>
      <c r="C594" s="10"/>
      <c r="D594" t="s">
        <v>1784</v>
      </c>
      <c r="E594" t="s">
        <v>606</v>
      </c>
      <c r="F594" t="s">
        <v>2927</v>
      </c>
      <c r="G594" s="14" t="s">
        <v>2710</v>
      </c>
      <c r="H594" s="14">
        <v>1888</v>
      </c>
      <c r="J594" t="str">
        <f>HYPERLINK("https://jicheng.tw/tcm/book/%e9%9c%8d%e4%ba%82%e7%87%83%e7%8a%80%e8%aa%aa/index.html")</f>
        <v>https://jicheng.tw/tcm/book/%e9%9c%8d%e4%ba%82%e7%87%83%e7%8a%80%e8%aa%aa/index.html</v>
      </c>
    </row>
    <row r="595" spans="1:10">
      <c r="A595" s="10" t="s">
        <v>1746</v>
      </c>
      <c r="B595" s="10"/>
      <c r="C595" s="10"/>
      <c r="D595" t="s">
        <v>607</v>
      </c>
      <c r="E595" t="s">
        <v>607</v>
      </c>
      <c r="F595" t="s">
        <v>2928</v>
      </c>
      <c r="G595" s="14" t="s">
        <v>2740</v>
      </c>
      <c r="H595" s="14">
        <v>1932</v>
      </c>
      <c r="J595" t="str">
        <f>HYPERLINK("https://jicheng.tw/tcm/book/%e6%b2%bb%e7%97%a2%e5%8d%97%e9%87%9d/index.html")</f>
        <v>https://jicheng.tw/tcm/book/%e6%b2%bb%e7%97%a2%e5%8d%97%e9%87%9d/index.html</v>
      </c>
    </row>
    <row r="596" spans="1:10">
      <c r="A596" s="10" t="s">
        <v>1746</v>
      </c>
      <c r="B596" s="10"/>
      <c r="C596" s="10"/>
      <c r="D596" t="s">
        <v>1785</v>
      </c>
      <c r="E596" t="s">
        <v>608</v>
      </c>
      <c r="F596" t="s">
        <v>2929</v>
      </c>
      <c r="G596" s="14" t="s">
        <v>2740</v>
      </c>
      <c r="H596" s="14">
        <v>1935</v>
      </c>
      <c r="J596" t="str">
        <f>HYPERLINK("https://jicheng.tw/tcm/book/%e7%97%99%e7%97%85%e8%88%87%e8%85%a6%e8%86%9c%e7%82%8e%e5%85%a8%e6%9b%b8/index.html")</f>
        <v>https://jicheng.tw/tcm/book/%e7%97%99%e7%97%85%e8%88%87%e8%85%a6%e8%86%9c%e7%82%8e%e5%85%a8%e6%9b%b8/index.html</v>
      </c>
    </row>
    <row r="597" spans="1:10">
      <c r="A597" s="10" t="s">
        <v>1746</v>
      </c>
      <c r="B597" s="10"/>
      <c r="C597" s="10"/>
      <c r="D597" t="s">
        <v>609</v>
      </c>
      <c r="E597" t="s">
        <v>609</v>
      </c>
      <c r="F597" t="s">
        <v>2930</v>
      </c>
      <c r="J597" t="str">
        <f>HYPERLINK("https://jicheng.tw/tcm/book/%e7%80%89%e7%96%ab%e6%96%b0%e8%ab%96/index.html")</f>
        <v>https://jicheng.tw/tcm/book/%e7%80%89%e7%96%ab%e6%96%b0%e8%ab%96/index.html</v>
      </c>
    </row>
    <row r="598" spans="1:10">
      <c r="A598" s="10" t="s">
        <v>1746</v>
      </c>
      <c r="B598" s="10"/>
      <c r="C598" s="10"/>
      <c r="D598" t="s">
        <v>1786</v>
      </c>
      <c r="E598" t="s">
        <v>610</v>
      </c>
      <c r="F598" t="s">
        <v>2931</v>
      </c>
      <c r="J598" t="str">
        <f>HYPERLINK("https://jicheng.tw/tcm/book/%e7%97%98%e7%a7%91%e8%be%a8%e8%a6%81/index.html")</f>
        <v>https://jicheng.tw/tcm/book/%e7%97%98%e7%a7%91%e8%be%a8%e8%a6%81/index.html</v>
      </c>
    </row>
    <row r="599" spans="1:10">
      <c r="A599" s="10" t="s">
        <v>1746</v>
      </c>
      <c r="B599" s="10"/>
      <c r="C599" s="10"/>
      <c r="D599" t="s">
        <v>1787</v>
      </c>
      <c r="E599" t="s">
        <v>611</v>
      </c>
      <c r="F599" t="s">
        <v>2932</v>
      </c>
      <c r="G599" s="14" t="s">
        <v>2710</v>
      </c>
      <c r="J599" t="str">
        <f>HYPERLINK("https://jicheng.tw/tcm/book/%e6%9a%91%e7%97%87%e7%99%bc%e5%8e%9f/index.html")</f>
        <v>https://jicheng.tw/tcm/book/%e6%9a%91%e7%97%87%e7%99%bc%e5%8e%9f/index.html</v>
      </c>
    </row>
    <row r="600" spans="1:10">
      <c r="A600" s="10" t="s">
        <v>1746</v>
      </c>
      <c r="B600" s="10"/>
      <c r="C600" s="10"/>
      <c r="D600" t="s">
        <v>612</v>
      </c>
      <c r="E600" t="s">
        <v>612</v>
      </c>
      <c r="F600" t="s">
        <v>2933</v>
      </c>
      <c r="G600" s="14" t="s">
        <v>2710</v>
      </c>
      <c r="H600" s="14">
        <v>1898</v>
      </c>
      <c r="J600" t="str">
        <f>HYPERLINK("https://jicheng.tw/tcm/book/%e6%b2%bb%e7%97%a2%e6%8d%b7%e8%a6%81%e6%96%b0%e6%9b%b8/index.html")</f>
        <v>https://jicheng.tw/tcm/book/%e6%b2%bb%e7%97%a2%e6%8d%b7%e8%a6%81%e6%96%b0%e6%9b%b8/index.html</v>
      </c>
    </row>
    <row r="601" spans="1:10">
      <c r="A601" s="10" t="s">
        <v>1746</v>
      </c>
      <c r="B601" s="10"/>
      <c r="C601" s="10"/>
      <c r="D601" t="s">
        <v>613</v>
      </c>
      <c r="E601" t="s">
        <v>613</v>
      </c>
      <c r="F601" t="s">
        <v>2934</v>
      </c>
      <c r="G601" s="14" t="s">
        <v>2740</v>
      </c>
      <c r="H601" s="14">
        <v>1912</v>
      </c>
      <c r="J601" t="str">
        <f>HYPERLINK("https://jicheng.tw/tcm/book/%e7%a7%8b%e7%98%a7%e6%8c%87%e5%8d%97/index.html")</f>
        <v>https://jicheng.tw/tcm/book/%e7%a7%8b%e7%98%a7%e6%8c%87%e5%8d%97/index.html</v>
      </c>
    </row>
    <row r="602" spans="1:10">
      <c r="A602" s="10" t="s">
        <v>1746</v>
      </c>
      <c r="B602" s="10"/>
      <c r="C602" s="10"/>
      <c r="D602" t="s">
        <v>1788</v>
      </c>
      <c r="E602" t="s">
        <v>614</v>
      </c>
      <c r="F602" t="s">
        <v>2935</v>
      </c>
      <c r="G602" s="14" t="s">
        <v>2710</v>
      </c>
      <c r="H602" s="14">
        <v>1795</v>
      </c>
      <c r="J602" t="str">
        <f>HYPERLINK("https://jicheng.tw/tcm/book/%e7%be%8a%e6%af%9b%e7%98%9f%e8%ad%89%e8%ab%96/index.html")</f>
        <v>https://jicheng.tw/tcm/book/%e7%be%8a%e6%af%9b%e7%98%9f%e8%ad%89%e8%ab%96/index.html</v>
      </c>
    </row>
    <row r="603" spans="1:10">
      <c r="A603" s="10" t="s">
        <v>1789</v>
      </c>
      <c r="B603" s="10"/>
      <c r="C603" s="10"/>
      <c r="D603" t="s">
        <v>1790</v>
      </c>
      <c r="E603" t="s">
        <v>615</v>
      </c>
      <c r="F603" t="s">
        <v>2936</v>
      </c>
      <c r="G603" s="14" t="s">
        <v>2937</v>
      </c>
      <c r="I603" t="s">
        <v>2960</v>
      </c>
      <c r="J603" t="str">
        <f>HYPERLINK("https://jicheng.tw/tcm/book/%e8%bc%94%e8%a1%8c%e8%a8%a3%e8%87%9f%e8%85%91%e7%94%a8%e8%97%a5%e6%b3%95%e8%a6%81/index.html")</f>
        <v>https://jicheng.tw/tcm/book/%e8%bc%94%e8%a1%8c%e8%a8%a3%e8%87%9f%e8%85%91%e7%94%a8%e8%97%a5%e6%b3%95%e8%a6%81/index.html</v>
      </c>
    </row>
    <row r="604" spans="1:10">
      <c r="A604" s="10" t="s">
        <v>1789</v>
      </c>
      <c r="B604" s="10"/>
      <c r="C604" s="10"/>
      <c r="D604" t="s">
        <v>616</v>
      </c>
      <c r="E604" t="s">
        <v>616</v>
      </c>
      <c r="F604" t="s">
        <v>2938</v>
      </c>
      <c r="G604" s="14" t="s">
        <v>2775</v>
      </c>
      <c r="H604" s="14">
        <v>1251</v>
      </c>
      <c r="J604" t="str">
        <f>HYPERLINK("https://jicheng.tw/tcm/book/%e6%b4%bb%e6%b3%95%e6%a9%9f%e8%a6%81/index.html")</f>
        <v>https://jicheng.tw/tcm/book/%e6%b4%bb%e6%b3%95%e6%a9%9f%e8%a6%81/index.html</v>
      </c>
    </row>
    <row r="605" spans="1:10">
      <c r="A605" s="10" t="s">
        <v>1789</v>
      </c>
      <c r="B605" s="10"/>
      <c r="C605" s="10"/>
      <c r="D605" t="s">
        <v>617</v>
      </c>
      <c r="E605" t="s">
        <v>617</v>
      </c>
      <c r="F605" t="s">
        <v>2838</v>
      </c>
      <c r="G605" s="14" t="s">
        <v>2710</v>
      </c>
      <c r="H605" s="14">
        <v>1768</v>
      </c>
      <c r="J605" t="str">
        <f>HYPERLINK("https://jicheng.tw/tcm/book/%e9%87%91%e5%8c%b1%e7%bf%bc/index.html")</f>
        <v>https://jicheng.tw/tcm/book/%e9%87%91%e5%8c%b1%e7%bf%bc/index.html</v>
      </c>
    </row>
    <row r="606" spans="1:10">
      <c r="A606" s="10" t="s">
        <v>1789</v>
      </c>
      <c r="B606" s="10"/>
      <c r="C606" s="10"/>
      <c r="D606" t="s">
        <v>1791</v>
      </c>
      <c r="E606" t="s">
        <v>618</v>
      </c>
      <c r="F606" t="s">
        <v>2782</v>
      </c>
      <c r="G606" s="14" t="s">
        <v>2710</v>
      </c>
      <c r="H606" s="14">
        <v>1742</v>
      </c>
      <c r="J606" t="str">
        <f>HYPERLINK("https://jicheng.tw/tcm/book/%e9%86%ab%e5%ae%97%e9%87%91%e9%91%91/%e9%9b%9c%e7%97%85%e5%bf%83%e6%b3%95%e8%a6%81%e8%a8%a3/index.html")</f>
        <v>https://jicheng.tw/tcm/book/%e9%86%ab%e5%ae%97%e9%87%91%e9%91%91/%e9%9b%9c%e7%97%85%e5%bf%83%e6%b3%95%e8%a6%81%e8%a8%a3/index.html</v>
      </c>
    </row>
    <row r="607" spans="1:10">
      <c r="A607" s="10" t="s">
        <v>1789</v>
      </c>
      <c r="B607" s="10"/>
      <c r="C607" s="10"/>
      <c r="D607" t="s">
        <v>1792</v>
      </c>
      <c r="E607" t="s">
        <v>619</v>
      </c>
      <c r="F607" t="s">
        <v>2939</v>
      </c>
      <c r="G607" s="14" t="s">
        <v>2710</v>
      </c>
      <c r="H607" s="14">
        <v>1751</v>
      </c>
      <c r="J607" t="str">
        <f>HYPERLINK("https://jicheng.tw/tcm/book/%e9%86%ab%e7%a2%a5/index.html")</f>
        <v>https://jicheng.tw/tcm/book/%e9%86%ab%e7%a2%a5/index.html</v>
      </c>
    </row>
    <row r="608" spans="1:10">
      <c r="A608" s="10" t="s">
        <v>1789</v>
      </c>
      <c r="B608" s="10"/>
      <c r="C608" s="10"/>
      <c r="D608" t="s">
        <v>1793</v>
      </c>
      <c r="E608" t="s">
        <v>620</v>
      </c>
      <c r="F608" t="s">
        <v>2940</v>
      </c>
      <c r="G608" s="14" t="s">
        <v>2743</v>
      </c>
      <c r="H608" s="14">
        <v>1515</v>
      </c>
      <c r="J608" t="str">
        <f>HYPERLINK("https://jicheng.tw/tcm/book/%e9%86%ab%e5%ad%b8%e6%ad%a3%e5%82%b3/index.html")</f>
        <v>https://jicheng.tw/tcm/book/%e9%86%ab%e5%ad%b8%e6%ad%a3%e5%82%b3/index.html</v>
      </c>
    </row>
    <row r="609" spans="1:10">
      <c r="A609" s="10" t="s">
        <v>1789</v>
      </c>
      <c r="B609" s="10"/>
      <c r="C609" s="10"/>
      <c r="D609" t="s">
        <v>1794</v>
      </c>
      <c r="E609" t="s">
        <v>621</v>
      </c>
      <c r="F609" t="s">
        <v>2941</v>
      </c>
      <c r="G609" s="14" t="s">
        <v>2710</v>
      </c>
      <c r="H609" s="14">
        <v>1754</v>
      </c>
      <c r="J609" t="str">
        <f>HYPERLINK("https://jicheng.tw/tcm/book/%e9%9b%9c%e7%97%87%e6%9c%83%e5%bf%83%e9%8c%84/index.html")</f>
        <v>https://jicheng.tw/tcm/book/%e9%9b%9c%e7%97%87%e6%9c%83%e5%bf%83%e9%8c%84/index.html</v>
      </c>
    </row>
    <row r="610" spans="1:10">
      <c r="A610" s="10" t="s">
        <v>1789</v>
      </c>
      <c r="B610" s="10"/>
      <c r="C610" s="10"/>
      <c r="D610" t="s">
        <v>1795</v>
      </c>
      <c r="E610" t="s">
        <v>622</v>
      </c>
      <c r="F610" t="s">
        <v>2942</v>
      </c>
      <c r="G610" s="14" t="s">
        <v>2710</v>
      </c>
      <c r="H610" s="14">
        <v>1853</v>
      </c>
      <c r="J610" t="str">
        <f>HYPERLINK("https://jicheng.tw/tcm/book/%e9%9b%9c%e7%97%85%e5%bb%a3%e8%a6%81/index.html")</f>
        <v>https://jicheng.tw/tcm/book/%e9%9b%9c%e7%97%85%e5%bb%a3%e8%a6%81/index.html</v>
      </c>
    </row>
    <row r="611" spans="1:10">
      <c r="A611" s="10" t="s">
        <v>1789</v>
      </c>
      <c r="B611" s="10"/>
      <c r="C611" s="10"/>
      <c r="D611" t="s">
        <v>1796</v>
      </c>
      <c r="E611" s="1" t="s">
        <v>623</v>
      </c>
      <c r="F611" t="s">
        <v>2943</v>
      </c>
      <c r="G611" s="14" t="s">
        <v>2809</v>
      </c>
      <c r="H611" s="14">
        <v>1232</v>
      </c>
      <c r="J611" s="1" t="str">
        <f>HYPERLINK("https://jicheng.tw/tcm/book/%e5%85%a7%e5%a4%96%e5%82%b7%e8%be%a8%e6%83%91%e8%ab%96/index.html")</f>
        <v>https://jicheng.tw/tcm/book/%e5%85%a7%e5%a4%96%e5%82%b7%e8%be%a8%e6%83%91%e8%ab%96/index.html</v>
      </c>
    </row>
    <row r="612" spans="1:10">
      <c r="A612" s="10" t="s">
        <v>1789</v>
      </c>
      <c r="B612" s="10"/>
      <c r="C612" s="10"/>
      <c r="D612" t="s">
        <v>1797</v>
      </c>
      <c r="E612" s="1" t="s">
        <v>624</v>
      </c>
      <c r="F612" t="s">
        <v>2943</v>
      </c>
      <c r="G612" s="14" t="s">
        <v>2809</v>
      </c>
      <c r="I612" t="s">
        <v>2961</v>
      </c>
      <c r="J612" s="1" t="str">
        <f>HYPERLINK("https://jicheng.tw/tcm/book/%e5%85%a7%e5%a4%96%e5%82%b7%e8%be%a8%e6%83%91%e8%ab%96%5f%31/index.html")</f>
        <v>https://jicheng.tw/tcm/book/%e5%85%a7%e5%a4%96%e5%82%b7%e8%be%a8%e6%83%91%e8%ab%96%5f%31/index.html</v>
      </c>
    </row>
    <row r="613" spans="1:10">
      <c r="A613" s="10" t="s">
        <v>1789</v>
      </c>
      <c r="B613" s="10"/>
      <c r="C613" s="10"/>
      <c r="D613" t="s">
        <v>1798</v>
      </c>
      <c r="E613" s="1" t="s">
        <v>625</v>
      </c>
      <c r="F613" t="s">
        <v>2742</v>
      </c>
      <c r="G613" s="14" t="s">
        <v>2743</v>
      </c>
      <c r="H613" s="14" t="s">
        <v>2702</v>
      </c>
      <c r="J613" s="1" t="str">
        <f>HYPERLINK("https://jicheng.tw/tcm/book/%e5%85%a7%e7%a7%91%e6%91%98%e8%a6%81/index.html")</f>
        <v>https://jicheng.tw/tcm/book/%e5%85%a7%e7%a7%91%e6%91%98%e8%a6%81/index.html</v>
      </c>
    </row>
    <row r="614" spans="1:10">
      <c r="A614" s="10" t="s">
        <v>1789</v>
      </c>
      <c r="B614" s="10"/>
      <c r="C614" s="10"/>
      <c r="D614" t="s">
        <v>1799</v>
      </c>
      <c r="E614" t="s">
        <v>626</v>
      </c>
      <c r="F614" t="s">
        <v>2944</v>
      </c>
      <c r="G614" s="14" t="s">
        <v>2743</v>
      </c>
      <c r="H614" s="14">
        <v>1602</v>
      </c>
      <c r="J614" t="str">
        <f>HYPERLINK("https://jicheng.tw/tcm/book/%e8%ad%89%e6%b2%bb%e6%ba%96%e7%b9%a9/%e9%9b%9c%e7%97%85/index.html")</f>
        <v>https://jicheng.tw/tcm/book/%e8%ad%89%e6%b2%bb%e6%ba%96%e7%b9%a9/%e9%9b%9c%e7%97%85/index.html</v>
      </c>
    </row>
    <row r="615" spans="1:10">
      <c r="A615" s="10" t="s">
        <v>1789</v>
      </c>
      <c r="B615" s="10"/>
      <c r="C615" s="10"/>
      <c r="D615" t="s">
        <v>1800</v>
      </c>
      <c r="E615" t="s">
        <v>627</v>
      </c>
      <c r="F615" t="s">
        <v>2945</v>
      </c>
      <c r="G615" s="14" t="s">
        <v>2710</v>
      </c>
      <c r="H615" s="14">
        <v>1884</v>
      </c>
      <c r="J615" t="str">
        <f>HYPERLINK("https://jicheng.tw/tcm/book/%e8%a1%80%e8%ad%89%e8%ab%96/index.html")</f>
        <v>https://jicheng.tw/tcm/book/%e8%a1%80%e8%ad%89%e8%ab%96/index.html</v>
      </c>
    </row>
    <row r="616" spans="1:10">
      <c r="A616" s="10" t="s">
        <v>1789</v>
      </c>
      <c r="B616" s="10"/>
      <c r="C616" s="10"/>
      <c r="D616" t="s">
        <v>1801</v>
      </c>
      <c r="E616" t="s">
        <v>628</v>
      </c>
      <c r="F616" t="s">
        <v>2945</v>
      </c>
      <c r="G616" s="14" t="s">
        <v>2710</v>
      </c>
      <c r="J616" t="str">
        <f>HYPERLINK("https://jicheng.tw/tcm/book/%e8%a1%80%e8%ad%89%e8%ab%96%5f%31/index.html")</f>
        <v>https://jicheng.tw/tcm/book/%e8%a1%80%e8%ad%89%e8%ab%96%5f%31/index.html</v>
      </c>
    </row>
    <row r="617" spans="1:10">
      <c r="A617" s="10" t="s">
        <v>1789</v>
      </c>
      <c r="B617" s="10"/>
      <c r="C617" s="10"/>
      <c r="D617" t="s">
        <v>1802</v>
      </c>
      <c r="E617" t="s">
        <v>629</v>
      </c>
      <c r="F617" t="s">
        <v>2946</v>
      </c>
      <c r="G617" s="14" t="s">
        <v>2710</v>
      </c>
      <c r="H617" s="14">
        <v>1700</v>
      </c>
      <c r="J617" t="str">
        <f>HYPERLINK("https://jicheng.tw/tcm/book/%e9%86%ab%e5%ad%b8%e5%82%b3%e7%87%88/index.html")</f>
        <v>https://jicheng.tw/tcm/book/%e9%86%ab%e5%ad%b8%e5%82%b3%e7%87%88/index.html</v>
      </c>
    </row>
    <row r="618" spans="1:10">
      <c r="A618" s="10" t="s">
        <v>1789</v>
      </c>
      <c r="B618" s="10"/>
      <c r="C618" s="10"/>
      <c r="D618" t="s">
        <v>1803</v>
      </c>
      <c r="E618" t="s">
        <v>630</v>
      </c>
      <c r="J618" t="str">
        <f>HYPERLINK("https://jicheng.tw/tcm/book/%e9%87%8d%e8%a8%82%e9%9d%88%e8%98%ad%e8%a6%81%e8%a6%bd/index.html")</f>
        <v>https://jicheng.tw/tcm/book/%e9%87%8d%e8%a8%82%e9%9d%88%e8%98%ad%e8%a6%81%e8%a6%bd/index.html</v>
      </c>
    </row>
    <row r="619" spans="1:10">
      <c r="A619" s="10" t="s">
        <v>1789</v>
      </c>
      <c r="B619" s="10"/>
      <c r="C619" s="10"/>
      <c r="D619" t="s">
        <v>631</v>
      </c>
      <c r="E619" t="s">
        <v>631</v>
      </c>
      <c r="F619" t="s">
        <v>2943</v>
      </c>
      <c r="G619" s="14" t="s">
        <v>2809</v>
      </c>
      <c r="H619" s="14">
        <v>1249</v>
      </c>
      <c r="J619" t="str">
        <f>HYPERLINK("https://jicheng.tw/tcm/book/%e8%84%be%e8%83%83%e8%ab%96/index.html")</f>
        <v>https://jicheng.tw/tcm/book/%e8%84%be%e8%83%83%e8%ab%96/index.html</v>
      </c>
    </row>
    <row r="620" spans="1:10">
      <c r="A620" s="10" t="s">
        <v>1789</v>
      </c>
      <c r="B620" s="10"/>
      <c r="C620" s="10"/>
      <c r="D620" t="s">
        <v>632</v>
      </c>
      <c r="E620" t="s">
        <v>632</v>
      </c>
      <c r="F620" t="s">
        <v>2943</v>
      </c>
      <c r="G620" s="14" t="s">
        <v>2809</v>
      </c>
      <c r="I620" t="s">
        <v>2961</v>
      </c>
      <c r="J620" t="str">
        <f>HYPERLINK("https://jicheng.tw/tcm/book/%e8%84%be%e8%83%83%e8%ab%96%5f%31/index.html")</f>
        <v>https://jicheng.tw/tcm/book/%e8%84%be%e8%83%83%e8%ab%96%5f%31/index.html</v>
      </c>
    </row>
    <row r="621" spans="1:10">
      <c r="A621" s="10" t="s">
        <v>1789</v>
      </c>
      <c r="B621" s="10"/>
      <c r="C621" s="10"/>
      <c r="D621" t="s">
        <v>1804</v>
      </c>
      <c r="E621" t="s">
        <v>633</v>
      </c>
      <c r="J621" t="str">
        <f>HYPERLINK("https://jicheng.tw/tcm/book/%e8%be%a8%e7%97%87%e7%8e%89%e5%87%bd/index.html")</f>
        <v>https://jicheng.tw/tcm/book/%e8%be%a8%e7%97%87%e7%8e%89%e5%87%bd/index.html</v>
      </c>
    </row>
    <row r="622" spans="1:10">
      <c r="A622" s="10" t="s">
        <v>1789</v>
      </c>
      <c r="B622" s="10"/>
      <c r="C622" s="10"/>
      <c r="D622" t="s">
        <v>1805</v>
      </c>
      <c r="E622" t="s">
        <v>634</v>
      </c>
      <c r="F622" t="s">
        <v>2947</v>
      </c>
      <c r="G622" s="14" t="s">
        <v>2710</v>
      </c>
      <c r="H622" s="14">
        <v>1837</v>
      </c>
      <c r="J622" t="str">
        <f>HYPERLINK("https://jicheng.tw/tcm/book/%e9%86%ab%e5%ad%b8%e5%a6%99%e8%ab%a6/index.html")</f>
        <v>https://jicheng.tw/tcm/book/%e9%86%ab%e5%ad%b8%e5%a6%99%e8%ab%a6/index.html</v>
      </c>
    </row>
    <row r="623" spans="1:10">
      <c r="A623" s="10" t="s">
        <v>1789</v>
      </c>
      <c r="B623" s="10"/>
      <c r="C623" s="10"/>
      <c r="D623" t="s">
        <v>1806</v>
      </c>
      <c r="E623" t="s">
        <v>635</v>
      </c>
      <c r="F623" t="s">
        <v>2948</v>
      </c>
      <c r="G623" s="14" t="s">
        <v>2710</v>
      </c>
      <c r="H623" s="14">
        <v>1840</v>
      </c>
      <c r="J623" t="str">
        <f>HYPERLINK("https://jicheng.tw/tcm/book/%e9%86%ab%e7%95%a5%e5%8d%81%e4%b8%89%e7%af%87/index.html")</f>
        <v>https://jicheng.tw/tcm/book/%e9%86%ab%e7%95%a5%e5%8d%81%e4%b8%89%e7%af%87/index.html</v>
      </c>
    </row>
    <row r="624" spans="1:10">
      <c r="A624" s="10" t="s">
        <v>1789</v>
      </c>
      <c r="B624" s="10"/>
      <c r="C624" s="10"/>
      <c r="D624" t="s">
        <v>1807</v>
      </c>
      <c r="E624" t="s">
        <v>636</v>
      </c>
      <c r="F624" t="s">
        <v>2949</v>
      </c>
      <c r="G624" s="14" t="s">
        <v>2710</v>
      </c>
      <c r="J624" t="str">
        <f>HYPERLINK("https://jicheng.tw/tcm/book/%e9%80%9a%e4%bf%97%e5%85%a7%e7%a7%91%e5%ad%b8/index.html")</f>
        <v>https://jicheng.tw/tcm/book/%e9%80%9a%e4%bf%97%e5%85%a7%e7%a7%91%e5%ad%b8/index.html</v>
      </c>
    </row>
    <row r="625" spans="1:10">
      <c r="A625" s="10" t="s">
        <v>1789</v>
      </c>
      <c r="B625" s="10"/>
      <c r="C625" s="10"/>
      <c r="D625" t="s">
        <v>637</v>
      </c>
      <c r="E625" t="s">
        <v>637</v>
      </c>
      <c r="J625" t="str">
        <f>HYPERLINK("https://jicheng.tw/tcm/book/%e5%a4%a7%e6%96%b9%e8%84%88/index.html")</f>
        <v>https://jicheng.tw/tcm/book/%e5%a4%a7%e6%96%b9%e8%84%88/index.html</v>
      </c>
    </row>
    <row r="626" spans="1:10">
      <c r="A626" s="10" t="s">
        <v>1789</v>
      </c>
      <c r="B626" s="10"/>
      <c r="C626" s="10"/>
      <c r="D626" t="s">
        <v>1808</v>
      </c>
      <c r="E626" t="s">
        <v>638</v>
      </c>
      <c r="F626" t="s">
        <v>2880</v>
      </c>
      <c r="G626" s="14" t="s">
        <v>2743</v>
      </c>
      <c r="H626" s="14">
        <v>1408</v>
      </c>
      <c r="J626" t="str">
        <f>HYPERLINK("https://jicheng.tw/tcm/book/%e9%9b%9c%e7%97%85%e6%b2%bb%e4%be%8b/index.html")</f>
        <v>https://jicheng.tw/tcm/book/%e9%9b%9c%e7%97%85%e6%b2%bb%e4%be%8b/index.html</v>
      </c>
    </row>
    <row r="627" spans="1:10">
      <c r="A627" s="10" t="s">
        <v>1789</v>
      </c>
      <c r="B627" s="10"/>
      <c r="C627" s="10"/>
      <c r="D627" t="s">
        <v>1809</v>
      </c>
      <c r="E627" t="s">
        <v>639</v>
      </c>
      <c r="F627" t="s">
        <v>2950</v>
      </c>
      <c r="G627" s="14" t="s">
        <v>2710</v>
      </c>
      <c r="H627" s="14">
        <v>1831</v>
      </c>
      <c r="J627" t="str">
        <f>HYPERLINK("https://jicheng.tw/tcm/book/%e9%86%ab%e6%95%88%e7%a7%98%e5%82%b3/index.html")</f>
        <v>https://jicheng.tw/tcm/book/%e9%86%ab%e6%95%88%e7%a7%98%e5%82%b3/index.html</v>
      </c>
    </row>
    <row r="628" spans="1:10">
      <c r="A628" s="10" t="s">
        <v>1789</v>
      </c>
      <c r="B628" s="10"/>
      <c r="C628" s="10"/>
      <c r="D628" t="s">
        <v>640</v>
      </c>
      <c r="E628" t="s">
        <v>640</v>
      </c>
      <c r="F628" t="s">
        <v>2951</v>
      </c>
      <c r="H628" s="14">
        <v>1667</v>
      </c>
      <c r="J628" t="str">
        <f>HYPERLINK("https://jicheng.tw/tcm/book/%e7%97%85%e6%a9%9f%e6%b2%99%e7%af%86/index.html")</f>
        <v>https://jicheng.tw/tcm/book/%e7%97%85%e6%a9%9f%e6%b2%99%e7%af%86/index.html</v>
      </c>
    </row>
    <row r="629" spans="1:10">
      <c r="A629" s="10" t="s">
        <v>1789</v>
      </c>
      <c r="B629" s="10"/>
      <c r="C629" s="10"/>
      <c r="D629" t="s">
        <v>1810</v>
      </c>
      <c r="E629" t="s">
        <v>641</v>
      </c>
      <c r="F629" t="s">
        <v>2951</v>
      </c>
      <c r="G629" s="14" t="s">
        <v>2743</v>
      </c>
      <c r="H629" s="14">
        <v>1626</v>
      </c>
      <c r="J629" t="str">
        <f>HYPERLINK("https://jicheng.tw/tcm/book/%e6%bf%9f%e9%99%bd%e7%b6%b1%e7%9b%ae/index.html")</f>
        <v>https://jicheng.tw/tcm/book/%e6%bf%9f%e9%99%bd%e7%b6%b1%e7%9b%ae/index.html</v>
      </c>
    </row>
    <row r="630" spans="1:10">
      <c r="A630" s="10" t="s">
        <v>1789</v>
      </c>
      <c r="B630" s="10"/>
      <c r="C630" s="10"/>
      <c r="D630" t="s">
        <v>1811</v>
      </c>
      <c r="E630" t="s">
        <v>642</v>
      </c>
      <c r="F630" t="s">
        <v>2711</v>
      </c>
      <c r="G630" s="14" t="s">
        <v>2710</v>
      </c>
      <c r="H630" s="14">
        <v>1820</v>
      </c>
      <c r="J630" t="str">
        <f>HYPERLINK("https://jicheng.tw/tcm/book/%e9%86%ab%e5%ad%b8%e5%be%9e%e7%9c%be%e9%8c%84/index.html")</f>
        <v>https://jicheng.tw/tcm/book/%e9%86%ab%e5%ad%b8%e5%be%9e%e7%9c%be%e9%8c%84/index.html</v>
      </c>
    </row>
    <row r="631" spans="1:10">
      <c r="A631" s="10" t="s">
        <v>1789</v>
      </c>
      <c r="B631" s="10"/>
      <c r="C631" s="10"/>
      <c r="D631" t="s">
        <v>1812</v>
      </c>
      <c r="E631" t="s">
        <v>643</v>
      </c>
      <c r="F631" t="s">
        <v>2952</v>
      </c>
      <c r="G631" s="14" t="s">
        <v>2710</v>
      </c>
      <c r="H631" s="14">
        <v>1865</v>
      </c>
      <c r="J631" t="str">
        <f>HYPERLINK("https://jicheng.tw/tcm/book/%e8%ad%89%e6%b2%bb%e6%91%98%e8%a6%81/index.html")</f>
        <v>https://jicheng.tw/tcm/book/%e8%ad%89%e6%b2%bb%e6%91%98%e8%a6%81/index.html</v>
      </c>
    </row>
    <row r="632" spans="1:10">
      <c r="A632" s="10" t="s">
        <v>1789</v>
      </c>
      <c r="B632" s="10"/>
      <c r="C632" s="10"/>
      <c r="D632" t="s">
        <v>1813</v>
      </c>
      <c r="E632" t="s">
        <v>644</v>
      </c>
      <c r="F632" t="s">
        <v>2953</v>
      </c>
      <c r="H632" s="14">
        <v>1936</v>
      </c>
      <c r="J632" t="str">
        <f>HYPERLINK("https://jicheng.tw/tcm/book/%e4%b8%ad%e5%9c%8b%e5%85%a7%e7%a7%91%e9%86%ab%e9%91%91/index.html")</f>
        <v>https://jicheng.tw/tcm/book/%e4%b8%ad%e5%9c%8b%e5%85%a7%e7%a7%91%e9%86%ab%e9%91%91/index.html</v>
      </c>
    </row>
    <row r="633" spans="1:10">
      <c r="A633" s="10" t="s">
        <v>1789</v>
      </c>
      <c r="B633" s="10"/>
      <c r="C633" s="10"/>
      <c r="D633" t="s">
        <v>645</v>
      </c>
      <c r="E633" t="s">
        <v>645</v>
      </c>
      <c r="F633" t="s">
        <v>2954</v>
      </c>
      <c r="G633" s="14" t="s">
        <v>2710</v>
      </c>
      <c r="H633" s="14">
        <v>1739</v>
      </c>
      <c r="J633" t="str">
        <f>HYPERLINK("https://jicheng.tw/tcm/book/%e4%b8%8d%e5%b1%85%e9%9b%86/index.html")</f>
        <v>https://jicheng.tw/tcm/book/%e4%b8%8d%e5%b1%85%e9%9b%86/index.html</v>
      </c>
    </row>
    <row r="634" spans="1:10">
      <c r="A634" s="10" t="s">
        <v>1789</v>
      </c>
      <c r="B634" s="10"/>
      <c r="C634" s="10"/>
      <c r="D634" t="s">
        <v>1814</v>
      </c>
      <c r="E634" t="s">
        <v>646</v>
      </c>
      <c r="F634" t="s">
        <v>2955</v>
      </c>
      <c r="G634" s="14" t="s">
        <v>2743</v>
      </c>
      <c r="H634" s="14">
        <v>1415</v>
      </c>
      <c r="J634" t="str">
        <f>HYPERLINK("https://jicheng.tw/tcm/book/%e9%86%ab%e5%ad%b8%e7%a2%8e%e9%87%91/index.html")</f>
        <v>https://jicheng.tw/tcm/book/%e9%86%ab%e5%ad%b8%e7%a2%8e%e9%87%91/index.html</v>
      </c>
    </row>
    <row r="635" spans="1:10">
      <c r="A635" s="10" t="s">
        <v>1789</v>
      </c>
      <c r="B635" s="10"/>
      <c r="C635" s="10"/>
      <c r="D635" t="s">
        <v>1815</v>
      </c>
      <c r="E635" t="s">
        <v>647</v>
      </c>
      <c r="F635" t="s">
        <v>2956</v>
      </c>
      <c r="G635" s="14" t="s">
        <v>2710</v>
      </c>
      <c r="H635" s="14">
        <v>1896</v>
      </c>
      <c r="J635" t="str">
        <f>HYPERLINK("https://jicheng.tw/tcm/book/%e9%86%ab%e5%ad%b8%e7%ad%94%e5%95%8f/index.html")</f>
        <v>https://jicheng.tw/tcm/book/%e9%86%ab%e5%ad%b8%e7%ad%94%e5%95%8f/index.html</v>
      </c>
    </row>
    <row r="636" spans="1:10">
      <c r="A636" s="10" t="s">
        <v>1789</v>
      </c>
      <c r="B636" s="10"/>
      <c r="C636" s="10"/>
      <c r="D636" t="s">
        <v>1816</v>
      </c>
      <c r="E636" t="s">
        <v>648</v>
      </c>
      <c r="F636" t="s">
        <v>2683</v>
      </c>
      <c r="G636" s="14" t="s">
        <v>2495</v>
      </c>
      <c r="H636" s="14">
        <v>1592</v>
      </c>
      <c r="J636" t="str">
        <f>HYPERLINK("https://jicheng.tw/tcm/book/%e9%86%ab%e5%ad%b8%e8%a6%81%e6%95%b8/index.html")</f>
        <v>https://jicheng.tw/tcm/book/%e9%86%ab%e5%ad%b8%e8%a6%81%e6%95%b8/index.html</v>
      </c>
    </row>
    <row r="637" spans="1:10">
      <c r="A637" s="10" t="s">
        <v>1789</v>
      </c>
      <c r="B637" s="10"/>
      <c r="C637" s="10"/>
      <c r="D637" t="s">
        <v>1817</v>
      </c>
      <c r="E637" t="s">
        <v>649</v>
      </c>
      <c r="F637" t="s">
        <v>2663</v>
      </c>
      <c r="G637" s="14" t="s">
        <v>2498</v>
      </c>
      <c r="H637" s="14">
        <v>1865</v>
      </c>
      <c r="J637" t="str">
        <f>HYPERLINK("https://jicheng.tw/tcm/book/%e6%96%87%e5%8d%81%e5%85%ad%e5%8d%b7/index.html")</f>
        <v>https://jicheng.tw/tcm/book/%e6%96%87%e5%8d%81%e5%85%ad%e5%8d%b7/index.html</v>
      </c>
    </row>
    <row r="638" spans="1:10">
      <c r="A638" s="10" t="s">
        <v>1789</v>
      </c>
      <c r="B638" s="10"/>
      <c r="C638" s="10"/>
      <c r="D638" t="s">
        <v>1818</v>
      </c>
      <c r="E638" t="s">
        <v>650</v>
      </c>
      <c r="F638" t="s">
        <v>2963</v>
      </c>
      <c r="G638" s="14" t="s">
        <v>2498</v>
      </c>
      <c r="H638" s="14">
        <v>1865</v>
      </c>
      <c r="J638" t="str">
        <f>HYPERLINK("https://jicheng.tw/tcm/book/%e8%a9%95%e7%90%b4%e6%9b%b8%e5%b1%8b%e9%86%ab%e7%95%a5/index.html")</f>
        <v>https://jicheng.tw/tcm/book/%e8%a9%95%e7%90%b4%e6%9b%b8%e5%b1%8b%e9%86%ab%e7%95%a5/index.html</v>
      </c>
    </row>
    <row r="639" spans="1:10">
      <c r="A639" s="10" t="s">
        <v>1789</v>
      </c>
      <c r="B639" s="10"/>
      <c r="C639" s="10"/>
      <c r="D639" t="s">
        <v>651</v>
      </c>
      <c r="E639" t="s">
        <v>651</v>
      </c>
      <c r="J639" t="str">
        <f>HYPERLINK("https://jicheng.tw/tcm/book/%e5%82%85%e6%b0%8f%e7%94%b7%e7%a7%91/index.html")</f>
        <v>https://jicheng.tw/tcm/book/%e5%82%85%e6%b0%8f%e7%94%b7%e7%a7%91/index.html</v>
      </c>
    </row>
    <row r="640" spans="1:10">
      <c r="A640" s="10" t="s">
        <v>1789</v>
      </c>
      <c r="B640" s="10" t="s">
        <v>1819</v>
      </c>
      <c r="C640" s="10"/>
      <c r="D640" t="s">
        <v>652</v>
      </c>
      <c r="E640" t="s">
        <v>652</v>
      </c>
      <c r="F640" t="s">
        <v>2964</v>
      </c>
      <c r="G640" s="14" t="s">
        <v>2498</v>
      </c>
      <c r="H640" s="14">
        <v>1821</v>
      </c>
      <c r="J640" t="str">
        <f>HYPERLINK("https://jicheng.tw/tcm/book/%e4%b8%ad%e9%a2%a8%e8%ab%96/index.html")</f>
        <v>https://jicheng.tw/tcm/book/%e4%b8%ad%e9%a2%a8%e8%ab%96/index.html</v>
      </c>
    </row>
    <row r="641" spans="1:10">
      <c r="A641" s="10" t="s">
        <v>1789</v>
      </c>
      <c r="B641" s="10" t="s">
        <v>1819</v>
      </c>
      <c r="C641" s="10"/>
      <c r="D641" t="s">
        <v>1820</v>
      </c>
      <c r="E641" t="s">
        <v>653</v>
      </c>
      <c r="F641" t="s">
        <v>2965</v>
      </c>
      <c r="G641" s="14" t="s">
        <v>2498</v>
      </c>
      <c r="H641" s="14">
        <v>1722</v>
      </c>
      <c r="J641" t="str">
        <f>HYPERLINK("https://jicheng.tw/tcm/book/%e4%bd%95%e6%b0%8f%e8%99%9b%e5%8b%9e%e5%bf%83%e5%82%b3/index.html")</f>
        <v>https://jicheng.tw/tcm/book/%e4%bd%95%e6%b0%8f%e8%99%9b%e5%8b%9e%e5%bf%83%e5%82%b3/index.html</v>
      </c>
    </row>
    <row r="642" spans="1:10">
      <c r="A642" s="10" t="s">
        <v>1789</v>
      </c>
      <c r="B642" s="10" t="s">
        <v>1819</v>
      </c>
      <c r="C642" s="10"/>
      <c r="D642" t="s">
        <v>654</v>
      </c>
      <c r="E642" t="s">
        <v>654</v>
      </c>
      <c r="F642" t="s">
        <v>2966</v>
      </c>
      <c r="G642" s="14" t="s">
        <v>2495</v>
      </c>
      <c r="H642" s="14">
        <v>1636</v>
      </c>
      <c r="J642" t="str">
        <f>HYPERLINK("https://jicheng.tw/tcm/book/%e6%85%8e%e6%9f%94%e4%ba%94%e6%9b%b8/index.html")</f>
        <v>https://jicheng.tw/tcm/book/%e6%85%8e%e6%9f%94%e4%ba%94%e6%9b%b8/index.html</v>
      </c>
    </row>
    <row r="643" spans="1:10">
      <c r="A643" s="10" t="s">
        <v>1789</v>
      </c>
      <c r="B643" s="10" t="s">
        <v>1819</v>
      </c>
      <c r="C643" s="10"/>
      <c r="D643" t="s">
        <v>1821</v>
      </c>
      <c r="E643" t="s">
        <v>655</v>
      </c>
      <c r="F643" t="s">
        <v>2967</v>
      </c>
      <c r="G643" s="14" t="s">
        <v>2498</v>
      </c>
      <c r="H643" s="14">
        <v>1796</v>
      </c>
      <c r="J643" t="str">
        <f>HYPERLINK("https://jicheng.tw/tcm/book/%e9%a2%a8%e5%8b%9e%e8%87%8c%e8%86%88%e5%9b%9b%e5%a4%a7%e8%ad%89%e6%b2%bb/index.html")</f>
        <v>https://jicheng.tw/tcm/book/%e9%a2%a8%e5%8b%9e%e8%87%8c%e8%86%88%e5%9b%9b%e5%a4%a7%e8%ad%89%e6%b2%bb/index.html</v>
      </c>
    </row>
    <row r="644" spans="1:10">
      <c r="A644" s="10" t="s">
        <v>1789</v>
      </c>
      <c r="B644" s="10" t="s">
        <v>1819</v>
      </c>
      <c r="C644" s="10"/>
      <c r="D644" t="s">
        <v>1822</v>
      </c>
      <c r="E644" t="s">
        <v>656</v>
      </c>
      <c r="F644" t="s">
        <v>2968</v>
      </c>
      <c r="G644" s="14" t="s">
        <v>2498</v>
      </c>
      <c r="H644" s="14">
        <v>1761</v>
      </c>
      <c r="J644" t="str">
        <f>HYPERLINK("https://jicheng.tw/tcm/book/%e8%99%9b%e6%90%8d%e5%95%9f%e5%be%ae/index.html")</f>
        <v>https://jicheng.tw/tcm/book/%e8%99%9b%e6%90%8d%e5%95%9f%e5%be%ae/index.html</v>
      </c>
    </row>
    <row r="645" spans="1:10">
      <c r="A645" s="10" t="s">
        <v>1789</v>
      </c>
      <c r="B645" s="10" t="s">
        <v>1819</v>
      </c>
      <c r="C645" s="10"/>
      <c r="D645" t="s">
        <v>1823</v>
      </c>
      <c r="E645" t="s">
        <v>657</v>
      </c>
      <c r="F645" t="s">
        <v>2969</v>
      </c>
      <c r="G645" s="14" t="s">
        <v>2495</v>
      </c>
      <c r="H645" s="14">
        <v>1630</v>
      </c>
      <c r="J645" t="str">
        <f>HYPERLINK("https://jicheng.tw/tcm/book/%e7%97%b0%e7%81%ab%e9%bb%9e%e9%9b%aa/index.html")</f>
        <v>https://jicheng.tw/tcm/book/%e7%97%b0%e7%81%ab%e9%bb%9e%e9%9b%aa/index.html</v>
      </c>
    </row>
    <row r="646" spans="1:10">
      <c r="A646" s="10" t="s">
        <v>1789</v>
      </c>
      <c r="B646" s="10" t="s">
        <v>1819</v>
      </c>
      <c r="C646" s="10"/>
      <c r="D646" t="s">
        <v>1824</v>
      </c>
      <c r="E646" t="s">
        <v>658</v>
      </c>
      <c r="F646" t="s">
        <v>2970</v>
      </c>
      <c r="G646" s="14" t="s">
        <v>2501</v>
      </c>
      <c r="H646" s="14">
        <v>1348</v>
      </c>
      <c r="J646" t="str">
        <f>HYPERLINK("https://jicheng.tw/tcm/book/%e5%a2%9e%e8%a8%82%e5%8d%81%e8%97%a5%e7%a5%9e%e6%9b%b8/index.html")</f>
        <v>https://jicheng.tw/tcm/book/%e5%a2%9e%e8%a8%82%e5%8d%81%e8%97%a5%e7%a5%9e%e6%9b%b8/index.html</v>
      </c>
    </row>
    <row r="647" spans="1:10">
      <c r="A647" s="10" t="s">
        <v>1789</v>
      </c>
      <c r="B647" s="10" t="s">
        <v>1819</v>
      </c>
      <c r="C647" s="10"/>
      <c r="D647" t="s">
        <v>1825</v>
      </c>
      <c r="E647" t="s">
        <v>659</v>
      </c>
      <c r="F647" t="s">
        <v>2971</v>
      </c>
      <c r="G647" s="14" t="s">
        <v>2495</v>
      </c>
      <c r="H647" s="14">
        <v>1644</v>
      </c>
      <c r="J647" t="str">
        <f>HYPERLINK("https://jicheng.tw/tcm/book/%e7%90%86%e8%99%9b%e5%85%83%e9%91%91/index.html")</f>
        <v>https://jicheng.tw/tcm/book/%e7%90%86%e8%99%9b%e5%85%83%e9%91%91/index.html</v>
      </c>
    </row>
    <row r="648" spans="1:10">
      <c r="A648" s="10" t="s">
        <v>1789</v>
      </c>
      <c r="B648" s="10" t="s">
        <v>1819</v>
      </c>
      <c r="C648" s="10"/>
      <c r="D648" t="s">
        <v>1826</v>
      </c>
      <c r="E648" t="s">
        <v>660</v>
      </c>
      <c r="J648" t="str">
        <f>HYPERLINK("https://jicheng.tw/tcm/book/%e7%a5%95%e5%82%b3%e5%a4%a7%e9%ba%bb%e7%98%8b%e6%96%b9/index.html")</f>
        <v>https://jicheng.tw/tcm/book/%e7%a5%95%e5%82%b3%e5%a4%a7%e9%ba%bb%e7%98%8b%e6%96%b9/index.html</v>
      </c>
    </row>
    <row r="649" spans="1:10">
      <c r="A649" s="10" t="s">
        <v>1789</v>
      </c>
      <c r="B649" s="10" t="s">
        <v>1819</v>
      </c>
      <c r="C649" s="10"/>
      <c r="D649" t="s">
        <v>1827</v>
      </c>
      <c r="E649" t="s">
        <v>661</v>
      </c>
      <c r="J649" t="str">
        <f>HYPERLINK("https://jicheng.tw/tcm/book/%e8%91%9b%e5%8f%af%e4%b9%85%e5%8d%81%e8%97%a5%e7%a5%9e%e6%9b%b8%e6%ad%8c%e8%a8%a3/index.html")</f>
        <v>https://jicheng.tw/tcm/book/%e8%91%9b%e5%8f%af%e4%b9%85%e5%8d%81%e8%97%a5%e7%a5%9e%e6%9b%b8%e6%ad%8c%e8%a8%a3/index.html</v>
      </c>
    </row>
    <row r="650" spans="1:10">
      <c r="A650" s="10" t="s">
        <v>1789</v>
      </c>
      <c r="B650" s="10" t="s">
        <v>1819</v>
      </c>
      <c r="C650" s="10"/>
      <c r="D650" t="s">
        <v>1828</v>
      </c>
      <c r="E650" t="s">
        <v>662</v>
      </c>
      <c r="F650" t="s">
        <v>2972</v>
      </c>
      <c r="G650" s="14" t="s">
        <v>2501</v>
      </c>
      <c r="H650" s="14">
        <v>1236</v>
      </c>
      <c r="J650" t="str">
        <f>HYPERLINK("https://jicheng.tw/tcm/book/%e9%99%b0%e8%ad%89%e7%95%a5%e4%be%8b/index.html")</f>
        <v>https://jicheng.tw/tcm/book/%e9%99%b0%e8%ad%89%e7%95%a5%e4%be%8b/index.html</v>
      </c>
    </row>
    <row r="651" spans="1:10">
      <c r="A651" s="10" t="s">
        <v>1789</v>
      </c>
      <c r="B651" s="10" t="s">
        <v>1819</v>
      </c>
      <c r="C651" s="10"/>
      <c r="D651" t="s">
        <v>1829</v>
      </c>
      <c r="E651" s="2" t="s">
        <v>663</v>
      </c>
      <c r="F651" t="s">
        <v>2681</v>
      </c>
      <c r="G651" s="14" t="s">
        <v>2496</v>
      </c>
      <c r="H651" s="14">
        <v>1093</v>
      </c>
      <c r="J651" s="2" t="str">
        <f>HYPERLINK("https://jicheng.tw/tcm/book/%e8%85%b3%e6%b0%a3%e6%b2%bb%e6%b3%95%e7%b8%bd%e8%a6%81/index.html")</f>
        <v>https://jicheng.tw/tcm/book/%e8%85%b3%e6%b0%a3%e6%b2%bb%e6%b3%95%e7%b8%bd%e8%a6%81/index.html</v>
      </c>
    </row>
    <row r="652" spans="1:10">
      <c r="A652" s="10" t="s">
        <v>1789</v>
      </c>
      <c r="B652" s="10" t="s">
        <v>1819</v>
      </c>
      <c r="C652" s="10"/>
      <c r="D652" t="s">
        <v>664</v>
      </c>
      <c r="E652" t="s">
        <v>664</v>
      </c>
      <c r="F652" t="s">
        <v>2973</v>
      </c>
      <c r="G652" s="14" t="s">
        <v>2511</v>
      </c>
      <c r="H652" s="14">
        <v>1244</v>
      </c>
      <c r="J652" t="str">
        <f>HYPERLINK("https://jicheng.tw/tcm/book/%e4%b8%89%e6%b6%88%e8%ab%96/index.html")</f>
        <v>https://jicheng.tw/tcm/book/%e4%b8%89%e6%b6%88%e8%ab%96/index.html</v>
      </c>
    </row>
    <row r="653" spans="1:10">
      <c r="A653" s="10" t="s">
        <v>1789</v>
      </c>
      <c r="B653" s="10" t="s">
        <v>1819</v>
      </c>
      <c r="C653" s="10"/>
      <c r="D653" t="s">
        <v>1830</v>
      </c>
      <c r="E653" t="s">
        <v>665</v>
      </c>
      <c r="J653" t="str">
        <f>HYPERLINK("https://jicheng.tw/tcm/book/%e7%99%b2%e7%8b%82%e6%a2%9d%e8%be%a8/index.html")</f>
        <v>https://jicheng.tw/tcm/book/%e7%99%b2%e7%8b%82%e6%a2%9d%e8%be%a8/index.html</v>
      </c>
    </row>
    <row r="654" spans="1:10">
      <c r="A654" s="10" t="s">
        <v>1789</v>
      </c>
      <c r="B654" s="10" t="s">
        <v>1819</v>
      </c>
      <c r="C654" s="10"/>
      <c r="D654" t="s">
        <v>666</v>
      </c>
      <c r="E654" t="s">
        <v>666</v>
      </c>
      <c r="J654" t="str">
        <f>HYPERLINK("https://jicheng.tw/tcm/book/%e6%b2%bb%e7%98%a7%e6%a9%9f%e8%a6%81/index.html")</f>
        <v>https://jicheng.tw/tcm/book/%e6%b2%bb%e7%98%a7%e6%a9%9f%e8%a6%81/index.html</v>
      </c>
    </row>
    <row r="655" spans="1:10">
      <c r="A655" s="10" t="s">
        <v>1789</v>
      </c>
      <c r="B655" s="10" t="s">
        <v>1819</v>
      </c>
      <c r="C655" s="10"/>
      <c r="D655" t="s">
        <v>667</v>
      </c>
      <c r="E655" t="s">
        <v>667</v>
      </c>
      <c r="J655" t="str">
        <f>HYPERLINK("https://jicheng.tw/tcm/book/%e7%98%a7%e5%88%a9%e6%88%90%e6%b3%95/index.html")</f>
        <v>https://jicheng.tw/tcm/book/%e7%98%a7%e5%88%a9%e6%88%90%e6%b3%95/index.html</v>
      </c>
    </row>
    <row r="656" spans="1:10">
      <c r="A656" s="10" t="s">
        <v>1789</v>
      </c>
      <c r="B656" s="10" t="s">
        <v>1819</v>
      </c>
      <c r="C656" s="10"/>
      <c r="D656" t="s">
        <v>1831</v>
      </c>
      <c r="E656" s="1" t="s">
        <v>668</v>
      </c>
      <c r="F656" t="s">
        <v>2974</v>
      </c>
      <c r="G656" s="14" t="s">
        <v>2498</v>
      </c>
      <c r="H656" s="14">
        <v>1822</v>
      </c>
      <c r="J656" s="1" t="str">
        <f>HYPERLINK("https://jicheng.tw/tcm/book/%e5%85%a7%e5%82%b7%e9%9b%86%e8%a6%81/index.html")</f>
        <v>https://jicheng.tw/tcm/book/%e5%85%a7%e5%82%b7%e9%9b%86%e8%a6%81/index.html</v>
      </c>
    </row>
    <row r="657" spans="1:10">
      <c r="A657" s="10" t="s">
        <v>1789</v>
      </c>
      <c r="B657" s="10" t="s">
        <v>1819</v>
      </c>
      <c r="C657" s="10"/>
      <c r="D657" t="s">
        <v>1832</v>
      </c>
      <c r="E657" t="s">
        <v>669</v>
      </c>
      <c r="F657" t="s">
        <v>2644</v>
      </c>
      <c r="G657" s="14" t="s">
        <v>2495</v>
      </c>
      <c r="H657" s="14">
        <v>1602</v>
      </c>
      <c r="J657" t="str">
        <f>HYPERLINK("https://jicheng.tw/tcm/book/%e8%ad%89%e6%b2%bb%e6%ba%96%e7%b9%a9/%e5%82%b7%e5%af%92/index.html")</f>
        <v>https://jicheng.tw/tcm/book/%e8%ad%89%e6%b2%bb%e6%ba%96%e7%b9%a9/%e5%82%b7%e5%af%92/index.html</v>
      </c>
    </row>
    <row r="658" spans="1:10">
      <c r="A658" s="10" t="s">
        <v>1789</v>
      </c>
      <c r="B658" s="10" t="s">
        <v>1819</v>
      </c>
      <c r="C658" s="10"/>
      <c r="D658" t="s">
        <v>1833</v>
      </c>
      <c r="E658" t="s">
        <v>670</v>
      </c>
      <c r="F658" t="s">
        <v>2975</v>
      </c>
      <c r="G658" s="14" t="s">
        <v>2498</v>
      </c>
      <c r="H658" s="14">
        <v>1857</v>
      </c>
      <c r="J658" t="str">
        <f>HYPERLINK("https://jicheng.tw/tcm/book/%e7%97%a2%e7%96%be%e6%98%8e%e8%be%a8/index.html")</f>
        <v>https://jicheng.tw/tcm/book/%e7%97%a2%e7%96%be%e6%98%8e%e8%be%a8/index.html</v>
      </c>
    </row>
    <row r="659" spans="1:10">
      <c r="A659" s="10" t="s">
        <v>1789</v>
      </c>
      <c r="B659" s="10" t="s">
        <v>1819</v>
      </c>
      <c r="C659" s="10"/>
      <c r="D659" t="s">
        <v>1834</v>
      </c>
      <c r="E659" s="2" t="s">
        <v>671</v>
      </c>
      <c r="F659" t="s">
        <v>2976</v>
      </c>
      <c r="J659" s="2" t="str">
        <f>HYPERLINK("https://jicheng.tw/tcm/book/%e8%85%b3%e6%b0%a3%e6%a6%82%e8%ab%96/index.html")</f>
        <v>https://jicheng.tw/tcm/book/%e8%85%b3%e6%b0%a3%e6%a6%82%e8%ab%96/index.html</v>
      </c>
    </row>
    <row r="660" spans="1:10">
      <c r="A660" s="10" t="s">
        <v>1789</v>
      </c>
      <c r="B660" s="10" t="s">
        <v>1819</v>
      </c>
      <c r="C660" s="10"/>
      <c r="D660" t="s">
        <v>1835</v>
      </c>
      <c r="E660" s="2" t="s">
        <v>672</v>
      </c>
      <c r="F660" t="s">
        <v>2977</v>
      </c>
      <c r="J660" s="2" t="str">
        <f>HYPERLINK("https://jicheng.tw/tcm/book/%e8%85%b3%e6%b0%a3%e9%89%a4%e8%a6%81/index.html")</f>
        <v>https://jicheng.tw/tcm/book/%e8%85%b3%e6%b0%a3%e9%89%a4%e8%a6%81/index.html</v>
      </c>
    </row>
    <row r="661" spans="1:10">
      <c r="A661" s="10" t="s">
        <v>1789</v>
      </c>
      <c r="B661" s="10" t="s">
        <v>1819</v>
      </c>
      <c r="C661" s="10"/>
      <c r="D661" t="s">
        <v>673</v>
      </c>
      <c r="E661" t="s">
        <v>673</v>
      </c>
      <c r="F661" t="s">
        <v>2562</v>
      </c>
      <c r="G661" s="14" t="s">
        <v>2498</v>
      </c>
      <c r="H661" s="14">
        <v>1884</v>
      </c>
      <c r="J661" t="str">
        <f>HYPERLINK("https://jicheng.tw/tcm/book/%e7%97%a2%e7%97%87%e4%b8%89%e5%ad%97%e8%a8%a3/index.html")</f>
        <v>https://jicheng.tw/tcm/book/%e7%97%a2%e7%97%87%e4%b8%89%e5%ad%97%e8%a8%a3/index.html</v>
      </c>
    </row>
    <row r="662" spans="1:10">
      <c r="A662" s="10" t="s">
        <v>1789</v>
      </c>
      <c r="B662" s="10" t="s">
        <v>1819</v>
      </c>
      <c r="C662" s="10"/>
      <c r="D662" t="s">
        <v>674</v>
      </c>
      <c r="E662" t="s">
        <v>674</v>
      </c>
      <c r="F662" t="s">
        <v>2978</v>
      </c>
      <c r="G662" s="14" t="s">
        <v>2495</v>
      </c>
      <c r="H662" s="14">
        <v>1657</v>
      </c>
      <c r="J662" t="str">
        <f>HYPERLINK("https://jicheng.tw/tcm/book/%e7%97%8e%e7%98%a7%e8%ab%96%e7%96%8f/index.html")</f>
        <v>https://jicheng.tw/tcm/book/%e7%97%8e%e7%98%a7%e8%ab%96%e7%96%8f/index.html</v>
      </c>
    </row>
    <row r="663" spans="1:10">
      <c r="A663" s="10" t="s">
        <v>1789</v>
      </c>
      <c r="B663" s="10" t="s">
        <v>1819</v>
      </c>
      <c r="C663" s="10"/>
      <c r="D663" t="s">
        <v>675</v>
      </c>
      <c r="E663" t="s">
        <v>675</v>
      </c>
      <c r="F663" t="s">
        <v>2979</v>
      </c>
      <c r="J663" t="str">
        <f>HYPERLINK("https://jicheng.tw/tcm/book/%e5%a4%b1%e7%9c%a0%e7%97%87%e4%b9%8b%e7%99%82%e6%b3%95/index.html")</f>
        <v>https://jicheng.tw/tcm/book/%e5%a4%b1%e7%9c%a0%e7%97%87%e4%b9%8b%e7%99%82%e6%b3%95/index.html</v>
      </c>
    </row>
    <row r="664" spans="1:10">
      <c r="A664" s="10" t="s">
        <v>1836</v>
      </c>
      <c r="B664" s="10"/>
      <c r="C664" s="10"/>
      <c r="D664" t="s">
        <v>676</v>
      </c>
      <c r="E664" t="s">
        <v>676</v>
      </c>
      <c r="F664" t="s">
        <v>2980</v>
      </c>
      <c r="G664" s="14" t="s">
        <v>2498</v>
      </c>
      <c r="H664" s="14">
        <v>1673</v>
      </c>
      <c r="J664" t="str">
        <f>HYPERLINK("https://jicheng.tw/tcm/book/%e5%82%85%e9%9d%92%e4%b8%bb%e5%a5%b3%e7%a7%91/index.html")</f>
        <v>https://jicheng.tw/tcm/book/%e5%82%85%e9%9d%92%e4%b8%bb%e5%a5%b3%e7%a7%91/index.html</v>
      </c>
    </row>
    <row r="665" spans="1:10">
      <c r="A665" s="10" t="s">
        <v>1836</v>
      </c>
      <c r="B665" s="10"/>
      <c r="C665" s="10"/>
      <c r="D665" t="s">
        <v>1837</v>
      </c>
      <c r="E665" t="s">
        <v>677</v>
      </c>
      <c r="J665" t="str">
        <f>HYPERLINK("https://jicheng.tw/tcm/book/%e5%82%85%e9%9d%92%e4%b8%bb%e5%a5%b3%e7%a7%91%5f%e6%a2%9d%e5%88%97%e7%89%88/index.html")</f>
        <v>https://jicheng.tw/tcm/book/%e5%82%85%e9%9d%92%e4%b8%bb%e5%a5%b3%e7%a7%91%5f%e6%a2%9d%e5%88%97%e7%89%88/index.html</v>
      </c>
    </row>
    <row r="666" spans="1:10">
      <c r="A666" s="10" t="s">
        <v>1836</v>
      </c>
      <c r="B666" s="10"/>
      <c r="C666" s="10"/>
      <c r="D666" t="s">
        <v>678</v>
      </c>
      <c r="E666" t="s">
        <v>678</v>
      </c>
      <c r="J666" t="str">
        <f>HYPERLINK("https://jicheng.tw/tcm/book/%e5%bc%b5%e6%b0%8f%e5%a9%a6%e7%a7%91/index.html")</f>
        <v>https://jicheng.tw/tcm/book/%e5%bc%b5%e6%b0%8f%e5%a9%a6%e7%a7%91/index.html</v>
      </c>
    </row>
    <row r="667" spans="1:10">
      <c r="A667" s="10" t="s">
        <v>1836</v>
      </c>
      <c r="B667" s="10"/>
      <c r="C667" s="10"/>
      <c r="D667" t="s">
        <v>679</v>
      </c>
      <c r="E667" t="s">
        <v>679</v>
      </c>
      <c r="J667" t="str">
        <f>HYPERLINK("https://jicheng.tw/tcm/book/%e5%a9%a6%e7%a7%91%e5%95%8f%e7%ad%94/index.html")</f>
        <v>https://jicheng.tw/tcm/book/%e5%a9%a6%e7%a7%91%e5%95%8f%e7%ad%94/index.html</v>
      </c>
    </row>
    <row r="668" spans="1:10">
      <c r="A668" s="10" t="s">
        <v>1836</v>
      </c>
      <c r="B668" s="10"/>
      <c r="C668" s="10"/>
      <c r="D668" t="s">
        <v>680</v>
      </c>
      <c r="E668" t="s">
        <v>680</v>
      </c>
      <c r="J668" t="str">
        <f>HYPERLINK("https://jicheng.tw/tcm/book/%e5%a9%a6%e7%a7%91%e7%a7%98%e6%96%b9/index.html")</f>
        <v>https://jicheng.tw/tcm/book/%e5%a9%a6%e7%a7%91%e7%a7%98%e6%96%b9/index.html</v>
      </c>
    </row>
    <row r="669" spans="1:10">
      <c r="A669" s="10" t="s">
        <v>1836</v>
      </c>
      <c r="B669" s="10"/>
      <c r="C669" s="10"/>
      <c r="D669" t="s">
        <v>1838</v>
      </c>
      <c r="E669" t="s">
        <v>681</v>
      </c>
      <c r="F669" t="s">
        <v>2981</v>
      </c>
      <c r="G669" s="14" t="s">
        <v>2495</v>
      </c>
      <c r="H669" s="14">
        <v>1665</v>
      </c>
      <c r="J669" t="str">
        <f>HYPERLINK("https://jicheng.tw/tcm/book/%e6%bf%9f%e9%99%b0%e7%b6%b1%e7%9b%ae/index.html")</f>
        <v>https://jicheng.tw/tcm/book/%e6%bf%9f%e9%99%b0%e7%b6%b1%e7%9b%ae/index.html</v>
      </c>
    </row>
    <row r="670" spans="1:10">
      <c r="A670" s="10" t="s">
        <v>1836</v>
      </c>
      <c r="B670" s="10"/>
      <c r="C670" s="10"/>
      <c r="D670" t="s">
        <v>1839</v>
      </c>
      <c r="E670" t="s">
        <v>682</v>
      </c>
      <c r="F670" t="s">
        <v>2981</v>
      </c>
      <c r="G670" s="14" t="s">
        <v>2495</v>
      </c>
      <c r="J670" t="str">
        <f>HYPERLINK("https://jicheng.tw/tcm/book/%e6%bf%9f%e9%99%b0%e7%b6%b1%e7%9b%ae%5f%31/index.html")</f>
        <v>https://jicheng.tw/tcm/book/%e6%bf%9f%e9%99%b0%e7%b6%b1%e7%9b%ae%5f%31/index.html</v>
      </c>
    </row>
    <row r="671" spans="1:10">
      <c r="A671" s="10" t="s">
        <v>1836</v>
      </c>
      <c r="B671" s="10"/>
      <c r="C671" s="10"/>
      <c r="D671" t="s">
        <v>1840</v>
      </c>
      <c r="E671" t="s">
        <v>683</v>
      </c>
      <c r="F671" t="s">
        <v>2982</v>
      </c>
      <c r="G671" s="14" t="s">
        <v>2498</v>
      </c>
      <c r="H671" s="14">
        <v>1742</v>
      </c>
      <c r="J671" t="str">
        <f>HYPERLINK("https://jicheng.tw/tcm/book/%e9%86%ab%e5%ae%97%e9%87%91%e9%91%91/%e5%a9%a6%e7%a7%91%e5%bf%83%e6%b3%95%e8%a6%81%e8%a8%a3/index.html")</f>
        <v>https://jicheng.tw/tcm/book/%e9%86%ab%e5%ae%97%e9%87%91%e9%91%91/%e5%a9%a6%e7%a7%91%e5%bf%83%e6%b3%95%e8%a6%81%e8%a8%a3/index.html</v>
      </c>
    </row>
    <row r="672" spans="1:10">
      <c r="A672" s="10" t="s">
        <v>1836</v>
      </c>
      <c r="B672" s="10"/>
      <c r="C672" s="10"/>
      <c r="D672" t="s">
        <v>684</v>
      </c>
      <c r="E672" t="s">
        <v>684</v>
      </c>
      <c r="F672" t="s">
        <v>2709</v>
      </c>
      <c r="G672" s="14" t="s">
        <v>2498</v>
      </c>
      <c r="H672" s="14">
        <v>1841</v>
      </c>
      <c r="J672" t="str">
        <f>HYPERLINK("https://jicheng.tw/tcm/book/%e5%a5%b3%e7%a7%91%e8%a6%81%e6%97%a8/index.html")</f>
        <v>https://jicheng.tw/tcm/book/%e5%a5%b3%e7%a7%91%e8%a6%81%e6%97%a8/index.html</v>
      </c>
    </row>
    <row r="673" spans="1:10">
      <c r="A673" s="10" t="s">
        <v>1836</v>
      </c>
      <c r="B673" s="10"/>
      <c r="C673" s="10"/>
      <c r="D673" t="s">
        <v>685</v>
      </c>
      <c r="E673" t="s">
        <v>685</v>
      </c>
      <c r="F673" t="s">
        <v>2983</v>
      </c>
      <c r="G673" s="14" t="s">
        <v>2495</v>
      </c>
      <c r="H673" s="14">
        <v>1548</v>
      </c>
      <c r="J673" t="str">
        <f>HYPERLINK("https://jicheng.tw/tcm/book/%e5%a5%b3%e7%a7%91%e6%92%ae%e8%a6%81/index.html")</f>
        <v>https://jicheng.tw/tcm/book/%e5%a5%b3%e7%a7%91%e6%92%ae%e8%a6%81/index.html</v>
      </c>
    </row>
    <row r="674" spans="1:10">
      <c r="A674" s="10" t="s">
        <v>1836</v>
      </c>
      <c r="B674" s="10"/>
      <c r="C674" s="10"/>
      <c r="D674" t="s">
        <v>686</v>
      </c>
      <c r="E674" t="s">
        <v>686</v>
      </c>
      <c r="F674" t="s">
        <v>2984</v>
      </c>
      <c r="G674" s="14" t="s">
        <v>2498</v>
      </c>
      <c r="H674" s="14">
        <v>1764</v>
      </c>
      <c r="J674" t="str">
        <f>HYPERLINK("https://jicheng.tw/tcm/book/%e6%b2%88%e6%b0%8f%e5%a5%b3%e7%a7%91%e8%bc%af%e8%a6%81/index.html")</f>
        <v>https://jicheng.tw/tcm/book/%e6%b2%88%e6%b0%8f%e5%a5%b3%e7%a7%91%e8%bc%af%e8%a6%81/index.html</v>
      </c>
    </row>
    <row r="675" spans="1:10">
      <c r="A675" s="10" t="s">
        <v>1836</v>
      </c>
      <c r="B675" s="10"/>
      <c r="C675" s="10"/>
      <c r="D675" t="s">
        <v>1841</v>
      </c>
      <c r="E675" t="s">
        <v>687</v>
      </c>
      <c r="J675" t="str">
        <f>HYPERLINK("https://jicheng.tw/tcm/book/%e5%ae%b6%e5%82%b3%e5%a5%b3%e7%a7%91%e7%b6%93%e9%a9%97%e6%91%98%e5%a5%87/index.html")</f>
        <v>https://jicheng.tw/tcm/book/%e5%ae%b6%e5%82%b3%e5%a5%b3%e7%a7%91%e7%b6%93%e9%a9%97%e6%91%98%e5%a5%87/index.html</v>
      </c>
    </row>
    <row r="676" spans="1:10">
      <c r="A676" s="10" t="s">
        <v>1836</v>
      </c>
      <c r="B676" s="10"/>
      <c r="C676" s="10"/>
      <c r="D676" t="s">
        <v>688</v>
      </c>
      <c r="E676" t="s">
        <v>688</v>
      </c>
      <c r="F676" t="s">
        <v>2985</v>
      </c>
      <c r="G676" s="14" t="s">
        <v>2498</v>
      </c>
      <c r="H676" s="14">
        <v>1884</v>
      </c>
      <c r="J676" t="str">
        <f>HYPERLINK("https://jicheng.tw/tcm/book/%e5%a9%a6%e7%a7%91%e7%a7%98%e6%9b%b8/index.html")</f>
        <v>https://jicheng.tw/tcm/book/%e5%a9%a6%e7%a7%91%e7%a7%98%e6%9b%b8/index.html</v>
      </c>
    </row>
    <row r="677" spans="1:10">
      <c r="A677" s="10" t="s">
        <v>1836</v>
      </c>
      <c r="B677" s="10"/>
      <c r="C677" s="10"/>
      <c r="D677" t="s">
        <v>689</v>
      </c>
      <c r="E677" t="s">
        <v>689</v>
      </c>
      <c r="F677" t="s">
        <v>2986</v>
      </c>
      <c r="G677" s="14" t="s">
        <v>2498</v>
      </c>
      <c r="H677" s="14">
        <v>1786</v>
      </c>
      <c r="J677" t="str">
        <f>HYPERLINK("https://jicheng.tw/tcm/book/%e5%af%a7%e5%9d%a4%e7%a7%98%e7%ac%88/index.html")</f>
        <v>https://jicheng.tw/tcm/book/%e5%af%a7%e5%9d%a4%e7%a7%98%e7%ac%88/index.html</v>
      </c>
    </row>
    <row r="678" spans="1:10">
      <c r="A678" s="10" t="s">
        <v>1836</v>
      </c>
      <c r="B678" s="10"/>
      <c r="C678" s="10"/>
      <c r="D678" t="s">
        <v>1842</v>
      </c>
      <c r="E678" t="s">
        <v>690</v>
      </c>
      <c r="F678" t="s">
        <v>2987</v>
      </c>
      <c r="G678" s="14" t="s">
        <v>2498</v>
      </c>
      <c r="H678" s="14">
        <v>1896</v>
      </c>
      <c r="J678" t="str">
        <f>HYPERLINK("https://jicheng.tw/tcm/book/%e6%bf%9f%e7%94%9f%e9%9b%86/index.html")</f>
        <v>https://jicheng.tw/tcm/book/%e6%bf%9f%e7%94%9f%e9%9b%86/index.html</v>
      </c>
    </row>
    <row r="679" spans="1:10">
      <c r="A679" s="10" t="s">
        <v>1836</v>
      </c>
      <c r="B679" s="10"/>
      <c r="C679" s="10"/>
      <c r="D679" t="s">
        <v>1843</v>
      </c>
      <c r="E679" s="1" t="s">
        <v>691</v>
      </c>
      <c r="F679" t="s">
        <v>2988</v>
      </c>
      <c r="G679" s="14" t="s">
        <v>2495</v>
      </c>
      <c r="H679" s="14">
        <v>1716</v>
      </c>
      <c r="J679" s="1" t="str">
        <f>HYPERLINK("https://jicheng.tw/tcm/book/%e5%85%a7%e5%ba%9c%e7%a7%98%e5%82%b3%e7%b6%93%e9%a9%97%e5%a5%b3%e7%a7%91/index.html")</f>
        <v>https://jicheng.tw/tcm/book/%e5%85%a7%e5%ba%9c%e7%a7%98%e5%82%b3%e7%b6%93%e9%a9%97%e5%a5%b3%e7%a7%91/index.html</v>
      </c>
    </row>
    <row r="680" spans="1:10">
      <c r="A680" s="10" t="s">
        <v>1836</v>
      </c>
      <c r="B680" s="10"/>
      <c r="C680" s="10"/>
      <c r="D680" t="s">
        <v>692</v>
      </c>
      <c r="E680" t="s">
        <v>692</v>
      </c>
      <c r="F680" t="s">
        <v>2989</v>
      </c>
      <c r="G680" s="14" t="s">
        <v>2498</v>
      </c>
      <c r="H680" s="14">
        <v>1764</v>
      </c>
      <c r="J680" t="str">
        <f>HYPERLINK("https://jicheng.tw/tcm/book/%e5%a5%b3%e7%a7%91%e6%8c%87%e8%a6%81/index.html")</f>
        <v>https://jicheng.tw/tcm/book/%e5%a5%b3%e7%a7%91%e6%8c%87%e8%a6%81/index.html</v>
      </c>
    </row>
    <row r="681" spans="1:10">
      <c r="A681" s="10" t="s">
        <v>1836</v>
      </c>
      <c r="B681" s="10"/>
      <c r="C681" s="10"/>
      <c r="D681" t="s">
        <v>693</v>
      </c>
      <c r="E681" t="s">
        <v>693</v>
      </c>
      <c r="F681" t="s">
        <v>2990</v>
      </c>
      <c r="G681" s="14" t="s">
        <v>2498</v>
      </c>
      <c r="H681" s="14">
        <v>1773</v>
      </c>
      <c r="J681" t="str">
        <f>HYPERLINK("https://jicheng.tw/tcm/book/%e5%a5%b3%e7%a7%91%e5%88%87%e8%a6%81/index.html")</f>
        <v>https://jicheng.tw/tcm/book/%e5%a5%b3%e7%a7%91%e5%88%87%e8%a6%81/index.html</v>
      </c>
    </row>
    <row r="682" spans="1:10">
      <c r="A682" s="10" t="s">
        <v>1836</v>
      </c>
      <c r="B682" s="10"/>
      <c r="C682" s="10"/>
      <c r="D682" t="s">
        <v>694</v>
      </c>
      <c r="E682" t="s">
        <v>694</v>
      </c>
      <c r="F682" t="s">
        <v>2990</v>
      </c>
      <c r="G682" s="14" t="s">
        <v>2498</v>
      </c>
      <c r="J682" t="str">
        <f>HYPERLINK("https://jicheng.tw/tcm/book/%e5%a5%b3%e7%a7%91%e5%88%87%e8%a6%81%5f%31/index.html")</f>
        <v>https://jicheng.tw/tcm/book/%e5%a5%b3%e7%a7%91%e5%88%87%e8%a6%81%5f%31/index.html</v>
      </c>
    </row>
    <row r="683" spans="1:10">
      <c r="A683" s="10" t="s">
        <v>1836</v>
      </c>
      <c r="B683" s="10"/>
      <c r="C683" s="10"/>
      <c r="D683" t="s">
        <v>695</v>
      </c>
      <c r="E683" t="s">
        <v>695</v>
      </c>
      <c r="F683" t="s">
        <v>2991</v>
      </c>
      <c r="G683" s="14" t="s">
        <v>2498</v>
      </c>
      <c r="H683" s="14">
        <v>1694</v>
      </c>
      <c r="J683" t="str">
        <f>HYPERLINK("https://jicheng.tw/tcm/book/%e5%a5%b3%e7%a7%91%e7%b2%be%e8%a6%81/index.html")</f>
        <v>https://jicheng.tw/tcm/book/%e5%a5%b3%e7%a7%91%e7%b2%be%e8%a6%81/index.html</v>
      </c>
    </row>
    <row r="684" spans="1:10">
      <c r="A684" s="10" t="s">
        <v>1836</v>
      </c>
      <c r="B684" s="10"/>
      <c r="C684" s="10"/>
      <c r="D684" t="s">
        <v>696</v>
      </c>
      <c r="E684" t="s">
        <v>696</v>
      </c>
      <c r="J684" t="str">
        <f>HYPERLINK("https://jicheng.tw/tcm/book/%e7%ab%b9%e6%b3%89%e7%94%9f%e5%a5%b3%e7%a7%91%e9%9b%86%e8%a6%81/index.html")</f>
        <v>https://jicheng.tw/tcm/book/%e7%ab%b9%e6%b3%89%e7%94%9f%e5%a5%b3%e7%a7%91%e9%9b%86%e8%a6%81/index.html</v>
      </c>
    </row>
    <row r="685" spans="1:10">
      <c r="A685" s="10" t="s">
        <v>1836</v>
      </c>
      <c r="B685" s="10"/>
      <c r="C685" s="10"/>
      <c r="D685" t="s">
        <v>697</v>
      </c>
      <c r="E685" t="s">
        <v>697</v>
      </c>
      <c r="G685" s="14" t="s">
        <v>2498</v>
      </c>
      <c r="J685" t="str">
        <f>HYPERLINK("https://jicheng.tw/tcm/book/%e5%a5%b3%e7%a7%91%e7%a7%98%e8%a6%81/index.html")</f>
        <v>https://jicheng.tw/tcm/book/%e5%a5%b3%e7%a7%91%e7%a7%98%e8%a6%81/index.html</v>
      </c>
    </row>
    <row r="686" spans="1:10">
      <c r="A686" s="10" t="s">
        <v>1836</v>
      </c>
      <c r="B686" s="10"/>
      <c r="C686" s="10"/>
      <c r="D686" t="s">
        <v>698</v>
      </c>
      <c r="E686" t="s">
        <v>698</v>
      </c>
      <c r="F686" t="s">
        <v>2980</v>
      </c>
      <c r="G686" s="14" t="s">
        <v>2498</v>
      </c>
      <c r="H686" s="14">
        <v>1673</v>
      </c>
      <c r="I686" t="s">
        <v>2962</v>
      </c>
      <c r="J686" t="str">
        <f>HYPERLINK("https://jicheng.tw/tcm/book/%e5%82%85%e9%9d%92%e4%b8%bb%e5%a5%b3%e7%a7%91%e6%ad%8c%e6%8b%ac/index.html")</f>
        <v>https://jicheng.tw/tcm/book/%e5%82%85%e9%9d%92%e4%b8%bb%e5%a5%b3%e7%a7%91%e6%ad%8c%e6%8b%ac/index.html</v>
      </c>
    </row>
    <row r="687" spans="1:10">
      <c r="A687" s="10" t="s">
        <v>1836</v>
      </c>
      <c r="B687" s="10"/>
      <c r="C687" s="10"/>
      <c r="D687" t="s">
        <v>699</v>
      </c>
      <c r="E687" t="s">
        <v>699</v>
      </c>
      <c r="F687" t="s">
        <v>2992</v>
      </c>
      <c r="G687" s="14" t="s">
        <v>2498</v>
      </c>
      <c r="H687" s="14">
        <v>1771</v>
      </c>
      <c r="J687" t="str">
        <f>HYPERLINK("https://jicheng.tw/tcm/book/%e5%a5%b3%e7%a7%91%e7%a7%98%e6%97%a8/index.html")</f>
        <v>https://jicheng.tw/tcm/book/%e5%a5%b3%e7%a7%91%e7%a7%98%e6%97%a8/index.html</v>
      </c>
    </row>
    <row r="688" spans="1:10">
      <c r="A688" s="10" t="s">
        <v>1836</v>
      </c>
      <c r="B688" s="10"/>
      <c r="C688" s="10"/>
      <c r="D688" t="s">
        <v>700</v>
      </c>
      <c r="E688" t="s">
        <v>700</v>
      </c>
      <c r="F688" t="s">
        <v>2993</v>
      </c>
      <c r="G688" s="14" t="s">
        <v>2498</v>
      </c>
      <c r="H688" s="14">
        <v>1773</v>
      </c>
      <c r="J688" t="str">
        <f>HYPERLINK("https://jicheng.tw/tcm/book/%e5%a9%a6%e7%a7%91%e7%8e%89%e5%b0%ba/index.html")</f>
        <v>https://jicheng.tw/tcm/book/%e5%a9%a6%e7%a7%91%e7%8e%89%e5%b0%ba/index.html</v>
      </c>
    </row>
    <row r="689" spans="1:10">
      <c r="A689" s="10" t="s">
        <v>1836</v>
      </c>
      <c r="B689" s="10"/>
      <c r="C689" s="10"/>
      <c r="D689" t="s">
        <v>701</v>
      </c>
      <c r="E689" t="s">
        <v>701</v>
      </c>
      <c r="F689" t="s">
        <v>2994</v>
      </c>
      <c r="G689" s="14" t="s">
        <v>2498</v>
      </c>
      <c r="H689" s="14">
        <v>1892</v>
      </c>
      <c r="J689" t="str">
        <f>HYPERLINK("https://jicheng.tw/tcm/book/%e5%a5%b3%e7%a7%91%e6%8a%98%e8%a1%b7%e7%ba%82%e8%a6%81/index.html")</f>
        <v>https://jicheng.tw/tcm/book/%e5%a5%b3%e7%a7%91%e6%8a%98%e8%a1%b7%e7%ba%82%e8%a6%81/index.html</v>
      </c>
    </row>
    <row r="690" spans="1:10">
      <c r="A690" s="10" t="s">
        <v>1836</v>
      </c>
      <c r="B690" s="10"/>
      <c r="C690" s="10"/>
      <c r="D690" t="s">
        <v>702</v>
      </c>
      <c r="E690" t="s">
        <v>702</v>
      </c>
      <c r="F690" t="s">
        <v>2995</v>
      </c>
      <c r="G690" s="14" t="s">
        <v>2495</v>
      </c>
      <c r="H690" s="14">
        <v>1617</v>
      </c>
      <c r="J690" t="str">
        <f>HYPERLINK("https://jicheng.tw/tcm/book/%e9%82%af%e9%84%b2%e9%81%ba%e7%a8%bf/index.html")</f>
        <v>https://jicheng.tw/tcm/book/%e9%82%af%e9%84%b2%e9%81%ba%e7%a8%bf/index.html</v>
      </c>
    </row>
    <row r="691" spans="1:10">
      <c r="A691" s="10" t="s">
        <v>1836</v>
      </c>
      <c r="B691" s="10"/>
      <c r="C691" s="10"/>
      <c r="D691" t="s">
        <v>1844</v>
      </c>
      <c r="E691" t="s">
        <v>703</v>
      </c>
      <c r="F691" t="s">
        <v>3008</v>
      </c>
      <c r="G691" s="14" t="s">
        <v>2498</v>
      </c>
      <c r="J691" t="str">
        <f>HYPERLINK("https://jicheng.tw/tcm/book/%e7%ab%b9%e6%9e%97%e5%a5%b3%e7%a7%91%e8%ad%89%e6%b2%bb/index.html")</f>
        <v>https://jicheng.tw/tcm/book/%e7%ab%b9%e6%9e%97%e5%a5%b3%e7%a7%91%e8%ad%89%e6%b2%bb/index.html</v>
      </c>
    </row>
    <row r="692" spans="1:10">
      <c r="A692" s="10" t="s">
        <v>1836</v>
      </c>
      <c r="B692" s="10"/>
      <c r="C692" s="10"/>
      <c r="D692" t="s">
        <v>704</v>
      </c>
      <c r="E692" t="s">
        <v>704</v>
      </c>
      <c r="F692" t="s">
        <v>3009</v>
      </c>
      <c r="G692" s="14" t="s">
        <v>2498</v>
      </c>
      <c r="H692" s="14">
        <v>1724</v>
      </c>
      <c r="J692" t="str">
        <f>HYPERLINK("https://jicheng.tw/tcm/book/%e5%a5%b3%e7%a7%91%e6%8c%87%e6%8e%8c/index.html")</f>
        <v>https://jicheng.tw/tcm/book/%e5%a5%b3%e7%a7%91%e6%8c%87%e6%8e%8c/index.html</v>
      </c>
    </row>
    <row r="693" spans="1:10">
      <c r="A693" s="10" t="s">
        <v>1836</v>
      </c>
      <c r="B693" s="10"/>
      <c r="C693" s="10"/>
      <c r="D693" t="s">
        <v>705</v>
      </c>
      <c r="E693" t="s">
        <v>705</v>
      </c>
      <c r="F693" t="s">
        <v>2546</v>
      </c>
      <c r="G693" s="14" t="s">
        <v>2495</v>
      </c>
      <c r="H693" s="14">
        <v>1637</v>
      </c>
      <c r="J693" t="str">
        <f>HYPERLINK("https://jicheng.tw/tcm/book/%e5%a9%a6%e4%ba%ba%e8%a6%8f/index.html")</f>
        <v>https://jicheng.tw/tcm/book/%e5%a9%a6%e4%ba%ba%e8%a6%8f/index.html</v>
      </c>
    </row>
    <row r="694" spans="1:10">
      <c r="A694" s="10" t="s">
        <v>1836</v>
      </c>
      <c r="B694" s="10"/>
      <c r="C694" s="10"/>
      <c r="D694" t="s">
        <v>1845</v>
      </c>
      <c r="E694" t="s">
        <v>706</v>
      </c>
      <c r="F694" t="s">
        <v>3010</v>
      </c>
      <c r="G694" s="14" t="s">
        <v>2498</v>
      </c>
      <c r="H694" s="14">
        <v>1684</v>
      </c>
      <c r="J694" t="str">
        <f>HYPERLINK("https://jicheng.tw/tcm/book/%e5%a5%b3%e7%a7%91%e7%b6%93%e7%b6%b8/index.html")</f>
        <v>https://jicheng.tw/tcm/book/%e5%a5%b3%e7%a7%91%e7%b6%93%e7%b6%b8/index.html</v>
      </c>
    </row>
    <row r="695" spans="1:10">
      <c r="A695" s="10" t="s">
        <v>1836</v>
      </c>
      <c r="B695" s="10"/>
      <c r="C695" s="10"/>
      <c r="D695" t="s">
        <v>1846</v>
      </c>
      <c r="E695" t="s">
        <v>707</v>
      </c>
      <c r="F695" t="s">
        <v>3010</v>
      </c>
      <c r="G695" s="14" t="s">
        <v>2498</v>
      </c>
      <c r="J695" t="str">
        <f>HYPERLINK("https://jicheng.tw/tcm/book/%e5%a5%b3%e7%a7%91%e7%b6%93%e7%b6%b8%5f%31/index.html")</f>
        <v>https://jicheng.tw/tcm/book/%e5%a5%b3%e7%a7%91%e7%b6%93%e7%b6%b8%5f%31/index.html</v>
      </c>
    </row>
    <row r="696" spans="1:10">
      <c r="A696" s="10" t="s">
        <v>1836</v>
      </c>
      <c r="B696" s="10"/>
      <c r="C696" s="10"/>
      <c r="D696" t="s">
        <v>1847</v>
      </c>
      <c r="E696" t="s">
        <v>708</v>
      </c>
      <c r="F696" t="s">
        <v>2644</v>
      </c>
      <c r="G696" s="14" t="s">
        <v>2495</v>
      </c>
      <c r="H696" s="14">
        <v>1602</v>
      </c>
      <c r="J696" t="str">
        <f>HYPERLINK("https://jicheng.tw/tcm/book/%e8%ad%89%e6%b2%bb%e6%ba%96%e7%b9%a9/%e5%a5%b3%e7%a7%91/index.html")</f>
        <v>https://jicheng.tw/tcm/book/%e8%ad%89%e6%b2%bb%e6%ba%96%e7%b9%a9/%e5%a5%b3%e7%a7%91/index.html</v>
      </c>
    </row>
    <row r="697" spans="1:10">
      <c r="A697" s="10" t="s">
        <v>1836</v>
      </c>
      <c r="B697" s="10"/>
      <c r="C697" s="10"/>
      <c r="D697" t="s">
        <v>709</v>
      </c>
      <c r="E697" t="s">
        <v>709</v>
      </c>
      <c r="F697" t="s">
        <v>3011</v>
      </c>
      <c r="G697" s="14" t="s">
        <v>2515</v>
      </c>
      <c r="H697" s="14">
        <v>1220</v>
      </c>
      <c r="J697" t="str">
        <f>HYPERLINK("https://jicheng.tw/tcm/book/%e5%a5%b3%e7%a7%91%e7%99%be%e5%95%8f/index.html")</f>
        <v>https://jicheng.tw/tcm/book/%e5%a5%b3%e7%a7%91%e7%99%be%e5%95%8f/index.html</v>
      </c>
    </row>
    <row r="698" spans="1:10">
      <c r="A698" s="10" t="s">
        <v>1836</v>
      </c>
      <c r="B698" s="10"/>
      <c r="C698" s="10"/>
      <c r="D698" t="s">
        <v>710</v>
      </c>
      <c r="E698" t="s">
        <v>710</v>
      </c>
      <c r="F698" t="s">
        <v>3012</v>
      </c>
      <c r="G698" s="14" t="s">
        <v>2498</v>
      </c>
      <c r="J698" t="str">
        <f>HYPERLINK("https://jicheng.tw/tcm/book/%e5%a5%b3%e7%a7%91%e7%99%be%e5%95%8f%5f%31/index.html")</f>
        <v>https://jicheng.tw/tcm/book/%e5%a5%b3%e7%a7%91%e7%99%be%e5%95%8f%5f%31/index.html</v>
      </c>
    </row>
    <row r="699" spans="1:10">
      <c r="A699" s="10" t="s">
        <v>1836</v>
      </c>
      <c r="B699" s="10"/>
      <c r="C699" s="10"/>
      <c r="D699" t="s">
        <v>711</v>
      </c>
      <c r="E699" t="s">
        <v>711</v>
      </c>
      <c r="F699" t="s">
        <v>3013</v>
      </c>
      <c r="G699" s="14" t="s">
        <v>2498</v>
      </c>
      <c r="H699" s="14" t="s">
        <v>2676</v>
      </c>
      <c r="J699" t="str">
        <f>HYPERLINK("https://jicheng.tw/tcm/book/%e5%a5%b3%e7%a7%91%e6%97%a8%e8%a6%81/index.html")</f>
        <v>https://jicheng.tw/tcm/book/%e5%a5%b3%e7%a7%91%e6%97%a8%e8%a6%81/index.html</v>
      </c>
    </row>
    <row r="700" spans="1:10">
      <c r="A700" s="10" t="s">
        <v>1836</v>
      </c>
      <c r="B700" s="10"/>
      <c r="C700" s="10"/>
      <c r="D700" t="s">
        <v>1848</v>
      </c>
      <c r="E700" t="s">
        <v>712</v>
      </c>
      <c r="F700" t="s">
        <v>3014</v>
      </c>
      <c r="H700" s="14">
        <v>1265</v>
      </c>
      <c r="J700" t="str">
        <f>HYPERLINK("https://jicheng.tw/tcm/book/%e8%96%9b%e6%b0%8f%e6%bf%9f%e9%99%b0%e8%90%ac%e9%87%91%e6%9b%b8/index.html")</f>
        <v>https://jicheng.tw/tcm/book/%e8%96%9b%e6%b0%8f%e6%bf%9f%e9%99%b0%e8%90%ac%e9%87%91%e6%9b%b8/index.html</v>
      </c>
    </row>
    <row r="701" spans="1:10">
      <c r="A701" s="10" t="s">
        <v>1836</v>
      </c>
      <c r="B701" s="10"/>
      <c r="C701" s="10"/>
      <c r="D701" t="s">
        <v>1849</v>
      </c>
      <c r="E701" t="s">
        <v>713</v>
      </c>
      <c r="F701" t="s">
        <v>3015</v>
      </c>
      <c r="G701" s="14" t="s">
        <v>2498</v>
      </c>
      <c r="H701" s="14">
        <v>1644</v>
      </c>
      <c r="J701" t="str">
        <f>HYPERLINK("https://jicheng.tw/tcm/book/%e5%a9%a6%e7%a7%91%e7%99%be%e8%be%a8/index.html")</f>
        <v>https://jicheng.tw/tcm/book/%e5%a9%a6%e7%a7%91%e7%99%be%e8%be%a8/index.html</v>
      </c>
    </row>
    <row r="702" spans="1:10">
      <c r="A702" s="10" t="s">
        <v>1836</v>
      </c>
      <c r="B702" s="10"/>
      <c r="C702" s="10"/>
      <c r="D702" t="s">
        <v>1850</v>
      </c>
      <c r="E702" t="s">
        <v>714</v>
      </c>
      <c r="F702" t="s">
        <v>3016</v>
      </c>
      <c r="G702" s="14" t="s">
        <v>2498</v>
      </c>
      <c r="H702" s="14">
        <v>1830</v>
      </c>
      <c r="J702" t="str">
        <f>HYPERLINK("https://jicheng.tw/tcm/book/%e7%a7%98%e7%8f%8d%e6%bf%9f%e9%99%b0/index.html")</f>
        <v>https://jicheng.tw/tcm/book/%e7%a7%98%e7%8f%8d%e6%bf%9f%e9%99%b0/index.html</v>
      </c>
    </row>
    <row r="703" spans="1:10">
      <c r="A703" s="10" t="s">
        <v>1836</v>
      </c>
      <c r="B703" s="10"/>
      <c r="C703" s="10"/>
      <c r="D703" t="s">
        <v>715</v>
      </c>
      <c r="E703" t="s">
        <v>715</v>
      </c>
      <c r="F703" t="s">
        <v>3017</v>
      </c>
      <c r="G703" s="14" t="s">
        <v>2498</v>
      </c>
      <c r="H703" s="14">
        <v>1905</v>
      </c>
      <c r="J703" t="str">
        <f>HYPERLINK("https://jicheng.tw/tcm/book/%e5%a5%b3%e4%b8%b9%e5%90%88%e7%b7%a8%e9%81%b8%e8%a8%bb/index.html")</f>
        <v>https://jicheng.tw/tcm/book/%e5%a5%b3%e4%b8%b9%e5%90%88%e7%b7%a8%e9%81%b8%e8%a8%bb/index.html</v>
      </c>
    </row>
    <row r="704" spans="1:10">
      <c r="A704" s="10" t="s">
        <v>1836</v>
      </c>
      <c r="B704" s="10"/>
      <c r="C704" s="10"/>
      <c r="D704" t="s">
        <v>1851</v>
      </c>
      <c r="E704" t="s">
        <v>716</v>
      </c>
      <c r="F704" t="s">
        <v>3018</v>
      </c>
      <c r="G704" s="14" t="s">
        <v>2498</v>
      </c>
      <c r="H704" s="14">
        <v>1795</v>
      </c>
      <c r="J704" t="str">
        <f>HYPERLINK("https://jicheng.tw/tcm/book/%e5%bd%a4%e5%9c%92%e9%86%ab%e6%9b%b8/%e5%a9%a6%e4%ba%ba%e7%a7%91/index.html")</f>
        <v>https://jicheng.tw/tcm/book/%e5%bd%a4%e5%9c%92%e9%86%ab%e6%9b%b8/%e5%a9%a6%e4%ba%ba%e7%a7%91/index.html</v>
      </c>
    </row>
    <row r="705" spans="1:10">
      <c r="A705" s="10" t="s">
        <v>1836</v>
      </c>
      <c r="B705" s="10"/>
      <c r="C705" s="10"/>
      <c r="D705" t="s">
        <v>1852</v>
      </c>
      <c r="E705" t="s">
        <v>717</v>
      </c>
      <c r="F705" t="s">
        <v>3019</v>
      </c>
      <c r="G705" s="14" t="s">
        <v>2498</v>
      </c>
      <c r="H705" s="14">
        <v>1804</v>
      </c>
      <c r="J705" t="str">
        <f>HYPERLINK("https://jicheng.tw/tcm/book/%e9%87%91%e5%8c%b1%e5%95%9f%e9%91%b0/%e5%a9%a6%e7%a7%91/index.html")</f>
        <v>https://jicheng.tw/tcm/book/%e9%87%91%e5%8c%b1%e5%95%9f%e9%91%b0/%e5%a9%a6%e7%a7%91/index.html</v>
      </c>
    </row>
    <row r="706" spans="1:10">
      <c r="A706" s="10" t="s">
        <v>1836</v>
      </c>
      <c r="B706" s="10"/>
      <c r="C706" s="10"/>
      <c r="D706" t="s">
        <v>718</v>
      </c>
      <c r="E706" t="s">
        <v>718</v>
      </c>
      <c r="F706" t="s">
        <v>2549</v>
      </c>
      <c r="G706" s="14" t="s">
        <v>2495</v>
      </c>
      <c r="H706" s="14">
        <v>1237</v>
      </c>
      <c r="J706" t="str">
        <f>HYPERLINK("https://jicheng.tw/tcm/book/%e6%a0%a1%e8%a8%bb%e5%a9%a6%e4%ba%ba%e8%89%af%e6%96%b9/index.html")</f>
        <v>https://jicheng.tw/tcm/book/%e6%a0%a1%e8%a8%bb%e5%a9%a6%e4%ba%ba%e8%89%af%e6%96%b9/index.html</v>
      </c>
    </row>
    <row r="707" spans="1:10">
      <c r="A707" s="10" t="s">
        <v>1836</v>
      </c>
      <c r="B707" s="10"/>
      <c r="C707" s="10"/>
      <c r="D707" t="s">
        <v>1853</v>
      </c>
      <c r="E707" t="s">
        <v>719</v>
      </c>
      <c r="H707" s="14">
        <v>1571</v>
      </c>
      <c r="J707" t="str">
        <f>HYPERLINK("https://jicheng.tw/tcm/book/%e8%90%ac%e6%b0%8f%e5%a5%b3%e7%a7%91/index.html")</f>
        <v>https://jicheng.tw/tcm/book/%e8%90%ac%e6%b0%8f%e5%a5%b3%e7%a7%91/index.html</v>
      </c>
    </row>
    <row r="708" spans="1:10">
      <c r="A708" s="10" t="s">
        <v>1836</v>
      </c>
      <c r="B708" s="10"/>
      <c r="C708" s="10"/>
      <c r="D708" t="s">
        <v>720</v>
      </c>
      <c r="E708" t="s">
        <v>720</v>
      </c>
      <c r="F708" t="s">
        <v>3020</v>
      </c>
      <c r="G708" s="14" t="s">
        <v>2498</v>
      </c>
      <c r="J708" t="str">
        <f>HYPERLINK("https://jicheng.tw/tcm/book/%e6%b2%88%e6%b0%8f%e5%a5%b3%e7%a7%91%e8%bc%af%e8%a6%81%e7%ae%8b%e7%96%8f/index.html")</f>
        <v>https://jicheng.tw/tcm/book/%e6%b2%88%e6%b0%8f%e5%a5%b3%e7%a7%91%e8%bc%af%e8%a6%81%e7%ae%8b%e7%96%8f/index.html</v>
      </c>
    </row>
    <row r="709" spans="1:10">
      <c r="A709" s="10" t="s">
        <v>1836</v>
      </c>
      <c r="B709" s="10"/>
      <c r="C709" s="10"/>
      <c r="D709" t="s">
        <v>721</v>
      </c>
      <c r="E709" t="s">
        <v>721</v>
      </c>
      <c r="J709" t="str">
        <f>HYPERLINK("https://jicheng.tw/tcm/book/%e5%82%85%e6%b0%8f%e5%a5%b3%e7%a7%91/index.html")</f>
        <v>https://jicheng.tw/tcm/book/%e5%82%85%e6%b0%8f%e5%a5%b3%e7%a7%91/index.html</v>
      </c>
    </row>
    <row r="710" spans="1:10">
      <c r="A710" s="10" t="s">
        <v>1836</v>
      </c>
      <c r="B710" s="10"/>
      <c r="C710" s="10"/>
      <c r="D710" t="s">
        <v>722</v>
      </c>
      <c r="E710" t="s">
        <v>722</v>
      </c>
      <c r="J710" t="str">
        <f>HYPERLINK("https://jicheng.tw/tcm/book/%e5%a5%b3%e7%a7%91%e4%bb%99%e6%96%b9/index.html")</f>
        <v>https://jicheng.tw/tcm/book/%e5%a5%b3%e7%a7%91%e4%bb%99%e6%96%b9/index.html</v>
      </c>
    </row>
    <row r="711" spans="1:10">
      <c r="A711" s="10" t="s">
        <v>1836</v>
      </c>
      <c r="B711" s="10"/>
      <c r="C711" s="10"/>
      <c r="D711" t="s">
        <v>1854</v>
      </c>
      <c r="E711" t="s">
        <v>723</v>
      </c>
      <c r="F711" t="s">
        <v>3021</v>
      </c>
      <c r="G711" s="14" t="s">
        <v>2498</v>
      </c>
      <c r="H711" s="14">
        <v>1776</v>
      </c>
      <c r="J711" t="str">
        <f>HYPERLINK("https://jicheng.tw/tcm/book/%e5%a9%a6%e7%a7%91%e5%86%b0%e9%91%91/index.html")</f>
        <v>https://jicheng.tw/tcm/book/%e5%a9%a6%e7%a7%91%e5%86%b0%e9%91%91/index.html</v>
      </c>
    </row>
    <row r="712" spans="1:10">
      <c r="A712" s="10" t="s">
        <v>1836</v>
      </c>
      <c r="B712" s="10"/>
      <c r="C712" s="10"/>
      <c r="D712" t="s">
        <v>1855</v>
      </c>
      <c r="E712" t="s">
        <v>724</v>
      </c>
      <c r="J712" t="str">
        <f>HYPERLINK("https://jicheng.tw/tcm/book/%e9%84%ad%e6%b0%8f%e5%ae%b6%e5%82%b3%e5%a5%b3%e7%a7%91%e8%90%ac%e9%87%91%e6%96%b9/index.html")</f>
        <v>https://jicheng.tw/tcm/book/%e9%84%ad%e6%b0%8f%e5%ae%b6%e5%82%b3%e5%a5%b3%e7%a7%91%e8%90%ac%e9%87%91%e6%96%b9/index.html</v>
      </c>
    </row>
    <row r="713" spans="1:10">
      <c r="A713" s="10" t="s">
        <v>1836</v>
      </c>
      <c r="B713" s="10"/>
      <c r="C713" s="10"/>
      <c r="D713" t="s">
        <v>725</v>
      </c>
      <c r="E713" t="s">
        <v>725</v>
      </c>
      <c r="F713" t="s">
        <v>3022</v>
      </c>
      <c r="G713" s="14" t="s">
        <v>2498</v>
      </c>
      <c r="J713" t="str">
        <f>HYPERLINK("https://jicheng.tw/tcm/book/%e7%ab%b9%e6%9e%97%e5%af%ba%e5%a5%b3%e7%a7%91%e7%a7%98%e6%96%b9/index.html")</f>
        <v>https://jicheng.tw/tcm/book/%e7%ab%b9%e6%9e%97%e5%af%ba%e5%a5%b3%e7%a7%91%e7%a7%98%e6%96%b9/index.html</v>
      </c>
    </row>
    <row r="714" spans="1:10">
      <c r="A714" s="10" t="s">
        <v>1836</v>
      </c>
      <c r="B714" s="10"/>
      <c r="C714" s="10"/>
      <c r="D714" t="s">
        <v>726</v>
      </c>
      <c r="E714" t="s">
        <v>726</v>
      </c>
      <c r="F714" t="s">
        <v>3023</v>
      </c>
      <c r="J714" t="str">
        <f>HYPERLINK("https://jicheng.tw/tcm/book/%e7%a8%8b%e9%96%80%e9%9b%aa%e9%81%ba%e7%a8%bf/index.html")</f>
        <v>https://jicheng.tw/tcm/book/%e7%a8%8b%e9%96%80%e9%9b%aa%e9%81%ba%e7%a8%bf/index.html</v>
      </c>
    </row>
    <row r="715" spans="1:10">
      <c r="A715" s="10" t="s">
        <v>1836</v>
      </c>
      <c r="B715" s="10" t="s">
        <v>2334</v>
      </c>
      <c r="C715" s="10"/>
      <c r="D715" t="s">
        <v>1856</v>
      </c>
      <c r="E715" t="s">
        <v>727</v>
      </c>
      <c r="F715" t="s">
        <v>3024</v>
      </c>
      <c r="G715" s="14" t="s">
        <v>2512</v>
      </c>
      <c r="H715" s="14">
        <v>850</v>
      </c>
      <c r="J715" t="str">
        <f>HYPERLINK("https://jicheng.tw/tcm/book/%e7%b6%93%e6%95%88%e7%94%a2%e5%af%b6/index.html")</f>
        <v>https://jicheng.tw/tcm/book/%e7%b6%93%e6%95%88%e7%94%a2%e5%af%b6/index.html</v>
      </c>
    </row>
    <row r="716" spans="1:10">
      <c r="A716" s="10" t="s">
        <v>1836</v>
      </c>
      <c r="B716" s="10" t="s">
        <v>2334</v>
      </c>
      <c r="C716" s="10"/>
      <c r="D716" t="s">
        <v>1857</v>
      </c>
      <c r="E716" t="s">
        <v>728</v>
      </c>
      <c r="F716" t="s">
        <v>3025</v>
      </c>
      <c r="G716" s="14" t="s">
        <v>2498</v>
      </c>
      <c r="H716" s="14" t="s">
        <v>2676</v>
      </c>
      <c r="J716" t="str">
        <f>HYPERLINK("https://jicheng.tw/tcm/book/%e7%9b%a4%e7%8f%a0%e9%9b%86%e8%83%8e%e7%94%a2%e7%97%87%e6%b2%bb/index.html")</f>
        <v>https://jicheng.tw/tcm/book/%e7%9b%a4%e7%8f%a0%e9%9b%86%e8%83%8e%e7%94%a2%e7%97%87%e6%b2%bb/index.html</v>
      </c>
    </row>
    <row r="717" spans="1:10">
      <c r="A717" s="10" t="s">
        <v>1836</v>
      </c>
      <c r="B717" s="10" t="s">
        <v>2334</v>
      </c>
      <c r="C717" s="10"/>
      <c r="D717" t="s">
        <v>1858</v>
      </c>
      <c r="E717" t="s">
        <v>729</v>
      </c>
      <c r="F717" t="s">
        <v>3026</v>
      </c>
      <c r="G717" s="14" t="s">
        <v>2498</v>
      </c>
      <c r="J717" t="str">
        <f>HYPERLINK("https://jicheng.tw/tcm/book/%e7%9b%a4%e7%8f%a0%e9%9b%86%e8%83%8e%e7%94%a2%e7%97%87%e6%b2%bb%5f%31/index.html")</f>
        <v>https://jicheng.tw/tcm/book/%e7%9b%a4%e7%8f%a0%e9%9b%86%e8%83%8e%e7%94%a2%e7%97%87%e6%b2%bb%5f%31/index.html</v>
      </c>
    </row>
    <row r="718" spans="1:10">
      <c r="A718" s="10" t="s">
        <v>1836</v>
      </c>
      <c r="B718" s="10" t="s">
        <v>2334</v>
      </c>
      <c r="C718" s="10"/>
      <c r="D718" t="s">
        <v>1859</v>
      </c>
      <c r="E718" s="2" t="s">
        <v>730</v>
      </c>
      <c r="F718" t="s">
        <v>3027</v>
      </c>
      <c r="G718" s="14" t="s">
        <v>2495</v>
      </c>
      <c r="H718" s="14">
        <v>1618</v>
      </c>
      <c r="J718" s="2" t="str">
        <f>HYPERLINK("https://jicheng.tw/tcm/book/%e7%94%a2%e9%91%91/index.html")</f>
        <v>https://jicheng.tw/tcm/book/%e7%94%a2%e9%91%91/index.html</v>
      </c>
    </row>
    <row r="719" spans="1:10">
      <c r="A719" s="10" t="s">
        <v>1836</v>
      </c>
      <c r="B719" s="10" t="s">
        <v>2334</v>
      </c>
      <c r="C719" s="10"/>
      <c r="D719" t="s">
        <v>1860</v>
      </c>
      <c r="E719" s="2" t="s">
        <v>731</v>
      </c>
      <c r="F719" t="s">
        <v>3028</v>
      </c>
      <c r="G719" s="14" t="s">
        <v>2498</v>
      </c>
      <c r="H719" s="14">
        <v>1729</v>
      </c>
      <c r="J719" s="2" t="str">
        <f>HYPERLINK("https://jicheng.tw/tcm/book/%e7%94%a2%e5%be%8c%e5%8d%81%e5%85%ab%e8%ab%96/index.html")</f>
        <v>https://jicheng.tw/tcm/book/%e7%94%a2%e5%be%8c%e5%8d%81%e5%85%ab%e8%ab%96/index.html</v>
      </c>
    </row>
    <row r="720" spans="1:10">
      <c r="A720" s="10" t="s">
        <v>1836</v>
      </c>
      <c r="B720" s="10" t="s">
        <v>2334</v>
      </c>
      <c r="C720" s="10"/>
      <c r="D720" t="s">
        <v>1861</v>
      </c>
      <c r="E720" t="s">
        <v>732</v>
      </c>
      <c r="J720" t="str">
        <f>HYPERLINK("https://jicheng.tw/tcm/book/%e9%8c%a2%e6%b0%8f%e7%a7%98%e5%82%b3%e7%94%a2%e7%a7%91%e6%96%b9%e6%9b%b8%e5%90%8d%e8%a9%a6%e9%a9%97%e9%8c%84/index.html")</f>
        <v>https://jicheng.tw/tcm/book/%e9%8c%a2%e6%b0%8f%e7%a7%98%e5%82%b3%e7%94%a2%e7%a7%91%e6%96%b9%e6%9b%b8%e5%90%8d%e8%a9%a6%e9%a9%97%e9%8c%84/index.html</v>
      </c>
    </row>
    <row r="721" spans="1:10">
      <c r="A721" s="10" t="s">
        <v>1836</v>
      </c>
      <c r="B721" s="10" t="s">
        <v>2334</v>
      </c>
      <c r="C721" s="10"/>
      <c r="D721" t="s">
        <v>1862</v>
      </c>
      <c r="E721" t="s">
        <v>733</v>
      </c>
      <c r="F721" t="s">
        <v>3025</v>
      </c>
      <c r="G721" s="14" t="s">
        <v>2498</v>
      </c>
      <c r="H721" s="14">
        <v>1856</v>
      </c>
      <c r="J721" t="str">
        <f>HYPERLINK("https://jicheng.tw/tcm/book/%e8%83%8e%e7%94%a2%e6%8c%87%e5%8d%97/index.html")</f>
        <v>https://jicheng.tw/tcm/book/%e8%83%8e%e7%94%a2%e6%8c%87%e5%8d%97/index.html</v>
      </c>
    </row>
    <row r="722" spans="1:10">
      <c r="A722" s="10" t="s">
        <v>1836</v>
      </c>
      <c r="B722" s="10" t="s">
        <v>2334</v>
      </c>
      <c r="C722" s="10"/>
      <c r="D722" t="s">
        <v>1863</v>
      </c>
      <c r="E722" t="s">
        <v>734</v>
      </c>
      <c r="F722" t="s">
        <v>3025</v>
      </c>
      <c r="G722" s="14" t="s">
        <v>2498</v>
      </c>
      <c r="J722" t="str">
        <f>HYPERLINK("https://jicheng.tw/tcm/book/%e8%83%8e%e7%94%a2%e6%8c%87%e5%8d%97%5f%31/index.html")</f>
        <v>https://jicheng.tw/tcm/book/%e8%83%8e%e7%94%a2%e6%8c%87%e5%8d%97%5f%31/index.html</v>
      </c>
    </row>
    <row r="723" spans="1:10">
      <c r="A723" s="10" t="s">
        <v>1836</v>
      </c>
      <c r="B723" s="10" t="s">
        <v>2334</v>
      </c>
      <c r="C723" s="10"/>
      <c r="D723" t="s">
        <v>1864</v>
      </c>
      <c r="E723" t="s">
        <v>735</v>
      </c>
      <c r="F723" t="s">
        <v>3029</v>
      </c>
      <c r="G723" s="14" t="s">
        <v>2498</v>
      </c>
      <c r="H723" s="14">
        <v>1795</v>
      </c>
      <c r="J723" t="str">
        <f>HYPERLINK("https://jicheng.tw/tcm/book/%e8%83%8e%e7%94%a2%e7%a7%98%e6%9b%b8/index.html")</f>
        <v>https://jicheng.tw/tcm/book/%e8%83%8e%e7%94%a2%e7%a7%98%e6%9b%b8/index.html</v>
      </c>
    </row>
    <row r="724" spans="1:10">
      <c r="A724" s="10" t="s">
        <v>1836</v>
      </c>
      <c r="B724" s="10" t="s">
        <v>2334</v>
      </c>
      <c r="C724" s="10"/>
      <c r="D724" t="s">
        <v>736</v>
      </c>
      <c r="E724" t="s">
        <v>736</v>
      </c>
      <c r="F724" t="s">
        <v>3030</v>
      </c>
      <c r="G724" s="14" t="s">
        <v>2498</v>
      </c>
      <c r="H724" s="14">
        <v>1715</v>
      </c>
      <c r="J724" t="str">
        <f>HYPERLINK("https://jicheng.tw/tcm/book/%e9%81%94%e7%94%9f%e7%b7%a8/index.html")</f>
        <v>https://jicheng.tw/tcm/book/%e9%81%94%e7%94%9f%e7%b7%a8/index.html</v>
      </c>
    </row>
    <row r="725" spans="1:10">
      <c r="A725" s="10" t="s">
        <v>1836</v>
      </c>
      <c r="B725" s="10" t="s">
        <v>2334</v>
      </c>
      <c r="C725" s="10"/>
      <c r="D725" t="s">
        <v>1865</v>
      </c>
      <c r="E725" t="s">
        <v>737</v>
      </c>
      <c r="F725" t="s">
        <v>3031</v>
      </c>
      <c r="G725" s="14" t="s">
        <v>2496</v>
      </c>
      <c r="H725" s="14">
        <v>1184</v>
      </c>
      <c r="J725" t="str">
        <f>HYPERLINK("https://jicheng.tw/tcm/book/%e8%a1%9b%e7%94%9f%e5%ae%b6%e5%af%b6%e7%94%a2%e7%a7%91%e5%82%99%e8%a6%81/index.html")</f>
        <v>https://jicheng.tw/tcm/book/%e8%a1%9b%e7%94%9f%e5%ae%b6%e5%af%b6%e7%94%a2%e7%a7%91%e5%82%99%e8%a6%81/index.html</v>
      </c>
    </row>
    <row r="726" spans="1:10">
      <c r="A726" s="10" t="s">
        <v>1836</v>
      </c>
      <c r="B726" s="10" t="s">
        <v>2334</v>
      </c>
      <c r="C726" s="10"/>
      <c r="D726" t="s">
        <v>1866</v>
      </c>
      <c r="E726" s="2" t="s">
        <v>738</v>
      </c>
      <c r="F726" t="s">
        <v>3032</v>
      </c>
      <c r="G726" s="14" t="s">
        <v>2498</v>
      </c>
      <c r="H726" s="14">
        <v>1728</v>
      </c>
      <c r="J726" s="2" t="str">
        <f>HYPERLINK("https://jicheng.tw/tcm/book/%e7%94%a2%e5%af%b6/index.html")</f>
        <v>https://jicheng.tw/tcm/book/%e7%94%a2%e5%af%b6/index.html</v>
      </c>
    </row>
    <row r="727" spans="1:10">
      <c r="A727" s="10" t="s">
        <v>1836</v>
      </c>
      <c r="B727" s="10" t="s">
        <v>2334</v>
      </c>
      <c r="C727" s="10"/>
      <c r="D727" t="s">
        <v>1867</v>
      </c>
      <c r="E727" t="s">
        <v>739</v>
      </c>
      <c r="F727" t="s">
        <v>3033</v>
      </c>
      <c r="G727" s="14" t="s">
        <v>2498</v>
      </c>
      <c r="H727" s="14">
        <v>1730</v>
      </c>
      <c r="J727" t="str">
        <f>HYPERLINK("https://jicheng.tw/tcm/book/%e8%83%8e%e7%94%a2%e5%bf%83%e6%b3%95/index.html")</f>
        <v>https://jicheng.tw/tcm/book/%e8%83%8e%e7%94%a2%e5%bf%83%e6%b3%95/index.html</v>
      </c>
    </row>
    <row r="728" spans="1:10">
      <c r="A728" s="10" t="s">
        <v>1836</v>
      </c>
      <c r="B728" s="10" t="s">
        <v>2334</v>
      </c>
      <c r="C728" s="10"/>
      <c r="D728" t="s">
        <v>1868</v>
      </c>
      <c r="E728" s="2" t="s">
        <v>740</v>
      </c>
      <c r="F728" t="s">
        <v>3034</v>
      </c>
      <c r="G728" s="14" t="s">
        <v>2498</v>
      </c>
      <c r="H728" s="14">
        <v>1830</v>
      </c>
      <c r="J728" s="2" t="str">
        <f>HYPERLINK("https://jicheng.tw/tcm/book/%e7%94%a2%e5%ad%95%e9%9b%86/index.html")</f>
        <v>https://jicheng.tw/tcm/book/%e7%94%a2%e5%ad%95%e9%9b%86/index.html</v>
      </c>
    </row>
    <row r="729" spans="1:10">
      <c r="A729" s="10" t="s">
        <v>1836</v>
      </c>
      <c r="B729" s="10" t="s">
        <v>2334</v>
      </c>
      <c r="C729" s="10"/>
      <c r="D729" t="s">
        <v>1869</v>
      </c>
      <c r="E729" t="s">
        <v>741</v>
      </c>
      <c r="F729" t="s">
        <v>3034</v>
      </c>
      <c r="G729" s="14" t="s">
        <v>2498</v>
      </c>
      <c r="J729" t="str">
        <f>HYPERLINK("https://jicheng.tw/tcm/book/%e9%87%8d%e8%a8%82%e7%94%a2%e5%ad%95%e9%9b%86/index.html")</f>
        <v>https://jicheng.tw/tcm/book/%e9%87%8d%e8%a8%82%e7%94%a2%e5%ad%95%e9%9b%86/index.html</v>
      </c>
    </row>
    <row r="730" spans="1:10">
      <c r="A730" s="10" t="s">
        <v>1836</v>
      </c>
      <c r="B730" s="10" t="s">
        <v>2334</v>
      </c>
      <c r="C730" s="10"/>
      <c r="D730" t="s">
        <v>1870</v>
      </c>
      <c r="E730" t="s">
        <v>742</v>
      </c>
      <c r="F730" t="s">
        <v>3035</v>
      </c>
      <c r="G730" s="14" t="s">
        <v>2498</v>
      </c>
      <c r="H730" s="14">
        <v>1825</v>
      </c>
      <c r="J730" t="str">
        <f>HYPERLINK("https://jicheng.tw/tcm/book/%e7%94%9f%e7%94%9f%e5%af%b6%e9%8c%84/index.html")</f>
        <v>https://jicheng.tw/tcm/book/%e7%94%9f%e7%94%9f%e5%af%b6%e9%8c%84/index.html</v>
      </c>
    </row>
    <row r="731" spans="1:10">
      <c r="A731" s="10" t="s">
        <v>1836</v>
      </c>
      <c r="B731" s="10" t="s">
        <v>2334</v>
      </c>
      <c r="C731" s="10"/>
      <c r="D731" t="s">
        <v>1871</v>
      </c>
      <c r="E731" s="2" t="s">
        <v>743</v>
      </c>
      <c r="F731" t="s">
        <v>3036</v>
      </c>
      <c r="J731" s="2" t="str">
        <f>HYPERLINK("https://jicheng.tw/tcm/book/%e7%94%a2%e8%ab%96/index.html")</f>
        <v>https://jicheng.tw/tcm/book/%e7%94%a2%e8%ab%96/index.html</v>
      </c>
    </row>
    <row r="732" spans="1:10">
      <c r="A732" s="10" t="s">
        <v>1836</v>
      </c>
      <c r="B732" s="10" t="s">
        <v>2334</v>
      </c>
      <c r="C732" s="10"/>
      <c r="D732" t="s">
        <v>1872</v>
      </c>
      <c r="E732" t="s">
        <v>744</v>
      </c>
      <c r="F732" t="s">
        <v>2644</v>
      </c>
      <c r="G732" s="14" t="s">
        <v>2495</v>
      </c>
      <c r="H732" s="14">
        <v>1602</v>
      </c>
      <c r="J732" t="str">
        <f>HYPERLINK("https://jicheng.tw/tcm/book/%e8%83%a4%e7%94%a2%e5%85%a8%e6%9b%b8/index.html")</f>
        <v>https://jicheng.tw/tcm/book/%e8%83%a4%e7%94%a2%e5%85%a8%e6%9b%b8/index.html</v>
      </c>
    </row>
    <row r="733" spans="1:10">
      <c r="A733" s="10" t="s">
        <v>1836</v>
      </c>
      <c r="B733" s="10" t="s">
        <v>2334</v>
      </c>
      <c r="C733" s="10"/>
      <c r="D733" t="s">
        <v>1873</v>
      </c>
      <c r="E733" t="s">
        <v>745</v>
      </c>
      <c r="F733" t="s">
        <v>2644</v>
      </c>
      <c r="G733" s="14" t="s">
        <v>2495</v>
      </c>
      <c r="H733" s="14">
        <v>1602</v>
      </c>
      <c r="J733" t="str">
        <f>HYPERLINK("https://jicheng.tw/tcm/book/%e8%83%8e%e7%94%a2%e8%ad%89%e6%b2%bb/index.html")</f>
        <v>https://jicheng.tw/tcm/book/%e8%83%8e%e7%94%a2%e8%ad%89%e6%b2%bb/index.html</v>
      </c>
    </row>
    <row r="734" spans="1:10">
      <c r="A734" s="10" t="s">
        <v>1836</v>
      </c>
      <c r="B734" s="10" t="s">
        <v>2334</v>
      </c>
      <c r="C734" s="10"/>
      <c r="D734" t="s">
        <v>1874</v>
      </c>
      <c r="E734" s="2" t="s">
        <v>746</v>
      </c>
      <c r="F734" t="s">
        <v>3037</v>
      </c>
      <c r="G734" s="14" t="s">
        <v>2498</v>
      </c>
      <c r="J734" s="2" t="str">
        <f>HYPERLINK("https://jicheng.tw/tcm/book/%e7%94%a2%e7%a7%91%e7%99%bc%e8%92%99/index.html")</f>
        <v>https://jicheng.tw/tcm/book/%e7%94%a2%e7%a7%91%e7%99%bc%e8%92%99/index.html</v>
      </c>
    </row>
    <row r="735" spans="1:10">
      <c r="A735" s="10" t="s">
        <v>1836</v>
      </c>
      <c r="B735" s="10" t="s">
        <v>2334</v>
      </c>
      <c r="C735" s="10"/>
      <c r="D735" t="s">
        <v>1875</v>
      </c>
      <c r="E735" s="2" t="s">
        <v>747</v>
      </c>
      <c r="F735" t="s">
        <v>3038</v>
      </c>
      <c r="J735" s="2" t="str">
        <f>HYPERLINK("https://jicheng.tw/tcm/book/%e7%94%a2%e8%ab%96%e7%bf%bc/index.html")</f>
        <v>https://jicheng.tw/tcm/book/%e7%94%a2%e8%ab%96%e7%bf%bc/index.html</v>
      </c>
    </row>
    <row r="736" spans="1:10">
      <c r="A736" s="10" t="s">
        <v>1836</v>
      </c>
      <c r="B736" s="10" t="s">
        <v>2334</v>
      </c>
      <c r="C736" s="10"/>
      <c r="D736" t="s">
        <v>1876</v>
      </c>
      <c r="E736" t="s">
        <v>748</v>
      </c>
      <c r="J736" t="str">
        <f>HYPERLINK("https://jicheng.tw/tcm/book/%e9%ab%98%e6%b7%91%e6%bf%82%e8%83%8e%e7%94%a2%e6%96%b9%e6%a1%88/index.html")</f>
        <v>https://jicheng.tw/tcm/book/%e9%ab%98%e6%b7%91%e6%bf%82%e8%83%8e%e7%94%a2%e6%96%b9%e6%a1%88/index.html</v>
      </c>
    </row>
    <row r="737" spans="1:10">
      <c r="A737" s="10" t="s">
        <v>1836</v>
      </c>
      <c r="B737" s="10" t="s">
        <v>2334</v>
      </c>
      <c r="C737" s="10"/>
      <c r="D737" t="s">
        <v>1877</v>
      </c>
      <c r="E737" t="s">
        <v>749</v>
      </c>
      <c r="F737" t="s">
        <v>3039</v>
      </c>
      <c r="H737" s="14">
        <v>1558</v>
      </c>
      <c r="J737" t="str">
        <f>HYPERLINK("https://jicheng.tw/tcm/book/%e6%bf%9f%e7%94%9f%e7%94%a2%e5%af%b6/index.html")</f>
        <v>https://jicheng.tw/tcm/book/%e6%bf%9f%e7%94%9f%e7%94%a2%e5%af%b6/index.html</v>
      </c>
    </row>
    <row r="738" spans="1:10">
      <c r="A738" s="10" t="s">
        <v>1836</v>
      </c>
      <c r="B738" s="10" t="s">
        <v>2334</v>
      </c>
      <c r="C738" s="10"/>
      <c r="D738" t="s">
        <v>1878</v>
      </c>
      <c r="E738" t="s">
        <v>750</v>
      </c>
      <c r="J738" t="str">
        <f>HYPERLINK("https://jicheng.tw/tcm/book/%e8%a9%95%e8%a8%bb%e7%94%a2%e7%a7%91%e5%bf%83%e6%b3%95/index.html")</f>
        <v>https://jicheng.tw/tcm/book/%e8%a9%95%e8%a8%bb%e7%94%a2%e7%a7%91%e5%bf%83%e6%b3%95/index.html</v>
      </c>
    </row>
    <row r="739" spans="1:10">
      <c r="A739" s="10" t="s">
        <v>1836</v>
      </c>
      <c r="B739" s="10" t="s">
        <v>2334</v>
      </c>
      <c r="C739" s="10"/>
      <c r="D739" t="s">
        <v>1879</v>
      </c>
      <c r="E739" t="s">
        <v>751</v>
      </c>
      <c r="J739" t="str">
        <f>HYPERLINK("https://jicheng.tw/tcm/book/%e6%af%93%e9%ba%9f%e9%a9%97%e6%96%b9/index.html")</f>
        <v>https://jicheng.tw/tcm/book/%e6%af%93%e9%ba%9f%e9%a9%97%e6%96%b9/index.html</v>
      </c>
    </row>
    <row r="740" spans="1:10">
      <c r="A740" s="10" t="s">
        <v>1836</v>
      </c>
      <c r="B740" s="10" t="s">
        <v>2334</v>
      </c>
      <c r="C740" s="10"/>
      <c r="D740" t="s">
        <v>1880</v>
      </c>
      <c r="E740" t="s">
        <v>752</v>
      </c>
      <c r="F740" t="s">
        <v>3040</v>
      </c>
      <c r="G740" s="14" t="s">
        <v>2495</v>
      </c>
      <c r="H740" s="14">
        <v>1544</v>
      </c>
      <c r="J740" t="str">
        <f>HYPERLINK("https://jicheng.tw/tcm/book/%e5%bb%a3%e5%97%a3%e8%a6%81%e8%aa%9e/index.html")</f>
        <v>https://jicheng.tw/tcm/book/%e5%bb%a3%e5%97%a3%e8%a6%81%e8%aa%9e/index.html</v>
      </c>
    </row>
    <row r="741" spans="1:10">
      <c r="A741" s="10" t="s">
        <v>1836</v>
      </c>
      <c r="B741" s="10" t="s">
        <v>2334</v>
      </c>
      <c r="C741" s="10"/>
      <c r="D741" t="s">
        <v>753</v>
      </c>
      <c r="E741" t="s">
        <v>753</v>
      </c>
      <c r="F741" t="s">
        <v>3041</v>
      </c>
      <c r="G741" s="14" t="s">
        <v>2498</v>
      </c>
      <c r="H741" s="14">
        <v>1636</v>
      </c>
      <c r="J741" t="str">
        <f>HYPERLINK("https://jicheng.tw/tcm/book/%e5%ae%9c%e9%ba%9f%e7%ad%96/index.html")</f>
        <v>https://jicheng.tw/tcm/book/%e5%ae%9c%e9%ba%9f%e7%ad%96/index.html</v>
      </c>
    </row>
    <row r="742" spans="1:10">
      <c r="A742" s="10" t="s">
        <v>1836</v>
      </c>
      <c r="B742" s="10" t="s">
        <v>2334</v>
      </c>
      <c r="C742" s="10"/>
      <c r="D742" t="s">
        <v>754</v>
      </c>
      <c r="E742" t="s">
        <v>754</v>
      </c>
      <c r="F742" t="s">
        <v>3042</v>
      </c>
      <c r="G742" s="14" t="s">
        <v>2498</v>
      </c>
      <c r="H742" s="14">
        <v>1722</v>
      </c>
      <c r="J742" t="str">
        <f>HYPERLINK("https://jicheng.tw/tcm/book/%e5%ad%95%e8%82%b2%e7%8e%84%e6%a9%9f/index.html")</f>
        <v>https://jicheng.tw/tcm/book/%e5%ad%95%e8%82%b2%e7%8e%84%e6%a9%9f/index.html</v>
      </c>
    </row>
    <row r="743" spans="1:10">
      <c r="A743" s="10" t="s">
        <v>1836</v>
      </c>
      <c r="B743" s="10" t="s">
        <v>2334</v>
      </c>
      <c r="C743" s="10"/>
      <c r="D743" t="s">
        <v>1881</v>
      </c>
      <c r="E743" t="s">
        <v>755</v>
      </c>
      <c r="F743" t="s">
        <v>3043</v>
      </c>
      <c r="G743" s="14" t="s">
        <v>2495</v>
      </c>
      <c r="H743" s="14">
        <v>1572</v>
      </c>
      <c r="J743" t="str">
        <f>HYPERLINK("https://jicheng.tw/tcm/book/%e5%bb%a3%e5%97%a3%e7%b4%80%e8%a6%81/index.html")</f>
        <v>https://jicheng.tw/tcm/book/%e5%bb%a3%e5%97%a3%e7%b4%80%e8%a6%81/index.html</v>
      </c>
    </row>
    <row r="744" spans="1:10">
      <c r="A744" s="10" t="s">
        <v>1836</v>
      </c>
      <c r="B744" s="10" t="s">
        <v>2334</v>
      </c>
      <c r="C744" s="10"/>
      <c r="D744" t="s">
        <v>1882</v>
      </c>
      <c r="E744" t="s">
        <v>756</v>
      </c>
      <c r="F744" t="s">
        <v>3044</v>
      </c>
      <c r="G744" s="14" t="s">
        <v>2498</v>
      </c>
      <c r="H744" s="14">
        <v>1849</v>
      </c>
      <c r="J744" t="str">
        <f>HYPERLINK("https://jicheng.tw/tcm/book/%e7%ba%8c%e5%a2%9e%e5%a4%a7%e7%94%9f%e8%a6%81%e6%97%a8/index.html")</f>
        <v>https://jicheng.tw/tcm/book/%e7%ba%8c%e5%a2%9e%e5%a4%a7%e7%94%9f%e8%a6%81%e6%97%a8/index.html</v>
      </c>
    </row>
    <row r="745" spans="1:10">
      <c r="A745" s="10" t="s">
        <v>1836</v>
      </c>
      <c r="B745" s="10" t="s">
        <v>2334</v>
      </c>
      <c r="C745" s="10"/>
      <c r="D745" t="s">
        <v>1883</v>
      </c>
      <c r="E745" s="2" t="s">
        <v>757</v>
      </c>
      <c r="G745" s="14" t="s">
        <v>2496</v>
      </c>
      <c r="J745" s="2" t="str">
        <f>HYPERLINK("https://jicheng.tw/tcm/book/%e7%94%a2%e8%82%b2%e5%af%b6%e6%85%b6%e6%96%b9/index.html")</f>
        <v>https://jicheng.tw/tcm/book/%e7%94%a2%e8%82%b2%e5%af%b6%e6%85%b6%e6%96%b9/index.html</v>
      </c>
    </row>
    <row r="746" spans="1:10">
      <c r="A746" s="10" t="s">
        <v>1836</v>
      </c>
      <c r="B746" s="10" t="s">
        <v>2334</v>
      </c>
      <c r="C746" s="10"/>
      <c r="D746" t="s">
        <v>1884</v>
      </c>
      <c r="E746" s="2" t="s">
        <v>758</v>
      </c>
      <c r="G746" s="14" t="s">
        <v>2496</v>
      </c>
      <c r="J746" s="2" t="str">
        <f>HYPERLINK("https://jicheng.tw/tcm/book/%e7%94%a2%e5%af%b6%e8%ab%b8%e6%96%b9/index.html")</f>
        <v>https://jicheng.tw/tcm/book/%e7%94%a2%e5%af%b6%e8%ab%b8%e6%96%b9/index.html</v>
      </c>
    </row>
    <row r="747" spans="1:10">
      <c r="A747" s="10" t="s">
        <v>1836</v>
      </c>
      <c r="B747" s="10" t="s">
        <v>2334</v>
      </c>
      <c r="C747" s="10"/>
      <c r="D747" t="s">
        <v>1885</v>
      </c>
      <c r="E747" t="s">
        <v>759</v>
      </c>
      <c r="F747" t="s">
        <v>3045</v>
      </c>
      <c r="G747" s="14" t="s">
        <v>2498</v>
      </c>
      <c r="J747" t="str">
        <f>HYPERLINK("https://jicheng.tw/tcm/book/%e8%83%8e%e7%94%a2%e6%96%b0%e6%9b%b8/index.html")</f>
        <v>https://jicheng.tw/tcm/book/%e8%83%8e%e7%94%a2%e6%96%b0%e6%9b%b8/index.html</v>
      </c>
    </row>
    <row r="748" spans="1:10">
      <c r="A748" s="10" t="s">
        <v>2343</v>
      </c>
      <c r="B748" s="10"/>
      <c r="C748" s="10"/>
      <c r="D748" t="s">
        <v>1886</v>
      </c>
      <c r="E748" t="s">
        <v>760</v>
      </c>
      <c r="F748" t="s">
        <v>3043</v>
      </c>
      <c r="G748" s="14" t="s">
        <v>2495</v>
      </c>
      <c r="H748" s="14">
        <v>1549</v>
      </c>
      <c r="J748" t="str">
        <f>HYPERLINK("https://jicheng.tw/tcm/book/%e5%b9%bc%e7%a7%91%e7%99%bc%e6%8f%ae/index.html")</f>
        <v>https://jicheng.tw/tcm/book/%e5%b9%bc%e7%a7%91%e7%99%bc%e6%8f%ae/index.html</v>
      </c>
    </row>
    <row r="749" spans="1:10">
      <c r="A749" s="10" t="s">
        <v>2343</v>
      </c>
      <c r="B749" s="10"/>
      <c r="C749" s="10"/>
      <c r="D749" t="s">
        <v>1887</v>
      </c>
      <c r="E749" t="s">
        <v>761</v>
      </c>
      <c r="J749" t="str">
        <f>HYPERLINK("https://jicheng.tw/tcm/book/%e5%85%92%e7%a7%91%e8%a6%81%e7%95%a5/index.html")</f>
        <v>https://jicheng.tw/tcm/book/%e5%85%92%e7%a7%91%e8%a6%81%e7%95%a5/index.html</v>
      </c>
    </row>
    <row r="750" spans="1:10">
      <c r="A750" s="10" t="s">
        <v>2343</v>
      </c>
      <c r="B750" s="10"/>
      <c r="C750" s="10"/>
      <c r="D750" t="s">
        <v>762</v>
      </c>
      <c r="E750" t="s">
        <v>762</v>
      </c>
      <c r="J750" t="str">
        <f>HYPERLINK("https://jicheng.tw/tcm/book/%e5%b9%bc%e7%a7%91%e6%a6%82%e8%ab%96/index.html")</f>
        <v>https://jicheng.tw/tcm/book/%e5%b9%bc%e7%a7%91%e6%a6%82%e8%ab%96/index.html</v>
      </c>
    </row>
    <row r="751" spans="1:10">
      <c r="A751" s="10" t="s">
        <v>2343</v>
      </c>
      <c r="B751" s="10"/>
      <c r="C751" s="10"/>
      <c r="D751" t="s">
        <v>1888</v>
      </c>
      <c r="E751" t="s">
        <v>763</v>
      </c>
      <c r="F751" t="s">
        <v>3046</v>
      </c>
      <c r="G751" s="14" t="s">
        <v>2498</v>
      </c>
      <c r="H751" s="14">
        <v>1774</v>
      </c>
      <c r="J751" t="str">
        <f>HYPERLINK("https://jicheng.tw/tcm/book/%e5%b9%bc%e7%a7%91%e9%87%8b%e8%ac%8e/index.html")</f>
        <v>https://jicheng.tw/tcm/book/%e5%b9%bc%e7%a7%91%e9%87%8b%e8%ac%8e/index.html</v>
      </c>
    </row>
    <row r="752" spans="1:10">
      <c r="A752" s="10" t="s">
        <v>2343</v>
      </c>
      <c r="B752" s="10"/>
      <c r="C752" s="10"/>
      <c r="D752" t="s">
        <v>764</v>
      </c>
      <c r="E752" t="s">
        <v>764</v>
      </c>
      <c r="F752" t="s">
        <v>3047</v>
      </c>
      <c r="G752" s="14" t="s">
        <v>2498</v>
      </c>
      <c r="H752" s="14">
        <v>1644</v>
      </c>
      <c r="J752" t="str">
        <f>HYPERLINK("https://jicheng.tw/tcm/book/%e4%bf%9d%e5%b9%bc%e6%96%b0%e7%b7%a8/index.html")</f>
        <v>https://jicheng.tw/tcm/book/%e4%bf%9d%e5%b9%bc%e6%96%b0%e7%b7%a8/index.html</v>
      </c>
    </row>
    <row r="753" spans="1:10">
      <c r="A753" s="10" t="s">
        <v>2343</v>
      </c>
      <c r="B753" s="10"/>
      <c r="C753" s="10"/>
      <c r="D753" t="s">
        <v>765</v>
      </c>
      <c r="E753" t="s">
        <v>765</v>
      </c>
      <c r="F753" t="s">
        <v>3001</v>
      </c>
      <c r="G753" s="14" t="s">
        <v>2495</v>
      </c>
      <c r="H753" s="14">
        <v>1506</v>
      </c>
      <c r="J753" t="str">
        <f>HYPERLINK("https://jicheng.tw/tcm/book/%e5%ac%b0%e7%ab%a5%e7%99%be%e5%95%8f/index.html")</f>
        <v>https://jicheng.tw/tcm/book/%e5%ac%b0%e7%ab%a5%e7%99%be%e5%95%8f/index.html</v>
      </c>
    </row>
    <row r="754" spans="1:10">
      <c r="A754" s="10" t="s">
        <v>2343</v>
      </c>
      <c r="B754" s="10"/>
      <c r="C754" s="10"/>
      <c r="D754" t="s">
        <v>766</v>
      </c>
      <c r="E754" t="s">
        <v>766</v>
      </c>
      <c r="F754" t="s">
        <v>3048</v>
      </c>
      <c r="G754" s="14" t="s">
        <v>2501</v>
      </c>
      <c r="H754" s="14">
        <v>1294</v>
      </c>
      <c r="J754" t="str">
        <f>HYPERLINK("https://jicheng.tw/tcm/book/%e6%b4%bb%e5%b9%bc%e5%bf%83%e6%9b%b8/index.html")</f>
        <v>https://jicheng.tw/tcm/book/%e6%b4%bb%e5%b9%bc%e5%bf%83%e6%9b%b8/index.html</v>
      </c>
    </row>
    <row r="755" spans="1:10">
      <c r="A755" s="10" t="s">
        <v>2343</v>
      </c>
      <c r="B755" s="10"/>
      <c r="C755" s="10"/>
      <c r="D755" t="s">
        <v>1889</v>
      </c>
      <c r="E755" t="s">
        <v>767</v>
      </c>
      <c r="F755" t="s">
        <v>3049</v>
      </c>
      <c r="G755" s="14" t="s">
        <v>2498</v>
      </c>
      <c r="H755" s="14">
        <v>1813</v>
      </c>
      <c r="J755" t="str">
        <f>HYPERLINK("https://jicheng.tw/tcm/book/%e5%85%92%e7%a7%91%e9%86%92/index.html")</f>
        <v>https://jicheng.tw/tcm/book/%e5%85%92%e7%a7%91%e9%86%92/index.html</v>
      </c>
    </row>
    <row r="756" spans="1:10">
      <c r="A756" s="10" t="s">
        <v>2343</v>
      </c>
      <c r="B756" s="10"/>
      <c r="C756" s="10"/>
      <c r="D756" t="s">
        <v>1890</v>
      </c>
      <c r="E756" t="s">
        <v>768</v>
      </c>
      <c r="F756" t="s">
        <v>3050</v>
      </c>
      <c r="G756" s="14" t="s">
        <v>2498</v>
      </c>
      <c r="H756" s="14">
        <v>1778</v>
      </c>
      <c r="J756" t="str">
        <f>HYPERLINK("https://jicheng.tw/tcm/book/%e5%ac%b0%e5%85%92%e8%ab%96/index.html")</f>
        <v>https://jicheng.tw/tcm/book/%e5%ac%b0%e5%85%92%e8%ab%96/index.html</v>
      </c>
    </row>
    <row r="757" spans="1:10">
      <c r="A757" s="10" t="s">
        <v>2343</v>
      </c>
      <c r="B757" s="10"/>
      <c r="C757" s="10"/>
      <c r="D757" t="s">
        <v>769</v>
      </c>
      <c r="E757" t="s">
        <v>769</v>
      </c>
      <c r="F757" t="s">
        <v>3051</v>
      </c>
      <c r="G757" s="14" t="s">
        <v>2496</v>
      </c>
      <c r="H757" s="14">
        <v>1150</v>
      </c>
      <c r="J757" t="str">
        <f>HYPERLINK("https://jicheng.tw/tcm/book/%e5%b9%bc%e5%b9%bc%e6%96%b0%e6%9b%b8/index.html")</f>
        <v>https://jicheng.tw/tcm/book/%e5%b9%bc%e5%b9%bc%e6%96%b0%e6%9b%b8/index.html</v>
      </c>
    </row>
    <row r="758" spans="1:10">
      <c r="A758" s="10" t="s">
        <v>2343</v>
      </c>
      <c r="B758" s="10"/>
      <c r="C758" s="10"/>
      <c r="D758" t="s">
        <v>1891</v>
      </c>
      <c r="E758" t="s">
        <v>770</v>
      </c>
      <c r="F758" t="s">
        <v>3052</v>
      </c>
      <c r="G758" s="14" t="s">
        <v>2498</v>
      </c>
      <c r="H758" s="14">
        <v>1695</v>
      </c>
      <c r="J758" t="str">
        <f>HYPERLINK("https://jicheng.tw/tcm/book/%e5%b9%bc%e7%a7%91%e9%90%b5%e9%8f%a1/index.html")</f>
        <v>https://jicheng.tw/tcm/book/%e5%b9%bc%e7%a7%91%e9%90%b5%e9%8f%a1/index.html</v>
      </c>
    </row>
    <row r="759" spans="1:10">
      <c r="A759" s="10" t="s">
        <v>2343</v>
      </c>
      <c r="B759" s="10"/>
      <c r="C759" s="10"/>
      <c r="D759" t="s">
        <v>1892</v>
      </c>
      <c r="E759" t="s">
        <v>771</v>
      </c>
      <c r="F759" t="s">
        <v>3053</v>
      </c>
      <c r="G759" s="14" t="s">
        <v>2518</v>
      </c>
      <c r="H759" s="14">
        <v>1930</v>
      </c>
      <c r="J759" t="str">
        <f>HYPERLINK("https://jicheng.tw/tcm/book/%e5%85%92%e7%a7%91%e8%90%83%e7%b2%be/index.html")</f>
        <v>https://jicheng.tw/tcm/book/%e5%85%92%e7%a7%91%e8%90%83%e7%b2%be/index.html</v>
      </c>
    </row>
    <row r="760" spans="1:10">
      <c r="A760" s="10" t="s">
        <v>2343</v>
      </c>
      <c r="B760" s="10"/>
      <c r="C760" s="10"/>
      <c r="D760" t="s">
        <v>772</v>
      </c>
      <c r="E760" t="s">
        <v>772</v>
      </c>
      <c r="F760" t="s">
        <v>3054</v>
      </c>
      <c r="G760" s="14" t="s">
        <v>2498</v>
      </c>
      <c r="H760" s="14">
        <v>1750</v>
      </c>
      <c r="J760" t="str">
        <f>HYPERLINK("https://jicheng.tw/tcm/book/%e5%b9%bc%e5%b9%bc%e9%9b%86%e6%88%90/index.html")</f>
        <v>https://jicheng.tw/tcm/book/%e5%b9%bc%e5%b9%bc%e9%9b%86%e6%88%90/index.html</v>
      </c>
    </row>
    <row r="761" spans="1:10">
      <c r="A761" s="10" t="s">
        <v>2343</v>
      </c>
      <c r="B761" s="10"/>
      <c r="C761" s="10"/>
      <c r="D761" t="s">
        <v>773</v>
      </c>
      <c r="E761" t="s">
        <v>773</v>
      </c>
      <c r="F761" t="s">
        <v>3055</v>
      </c>
      <c r="G761" s="14" t="s">
        <v>2495</v>
      </c>
      <c r="H761" s="14">
        <v>1534</v>
      </c>
      <c r="J761" t="str">
        <f>HYPERLINK("https://jicheng.tw/tcm/book/%e5%b9%bc%e7%a7%91%e9%a1%9e%e8%90%83/index.html")</f>
        <v>https://jicheng.tw/tcm/book/%e5%b9%bc%e7%a7%91%e9%a1%9e%e8%90%83/index.html</v>
      </c>
    </row>
    <row r="762" spans="1:10">
      <c r="A762" s="10" t="s">
        <v>2343</v>
      </c>
      <c r="B762" s="10"/>
      <c r="C762" s="10"/>
      <c r="D762" t="s">
        <v>774</v>
      </c>
      <c r="E762" t="s">
        <v>774</v>
      </c>
      <c r="F762" t="s">
        <v>3056</v>
      </c>
      <c r="G762" s="14" t="s">
        <v>2495</v>
      </c>
      <c r="H762" s="14">
        <v>1555</v>
      </c>
      <c r="J762" t="str">
        <f>HYPERLINK("https://jicheng.tw/tcm/book/%e4%bf%9d%e5%ac%b0%e6%92%ae%e8%a6%81/index.html")</f>
        <v>https://jicheng.tw/tcm/book/%e4%bf%9d%e5%ac%b0%e6%92%ae%e8%a6%81/index.html</v>
      </c>
    </row>
    <row r="763" spans="1:10">
      <c r="A763" s="10" t="s">
        <v>2343</v>
      </c>
      <c r="B763" s="10"/>
      <c r="C763" s="10"/>
      <c r="D763" t="s">
        <v>775</v>
      </c>
      <c r="E763" t="s">
        <v>775</v>
      </c>
      <c r="F763" t="s">
        <v>3057</v>
      </c>
      <c r="G763" s="14" t="s">
        <v>2498</v>
      </c>
      <c r="H763" s="14">
        <v>1661</v>
      </c>
      <c r="J763" t="str">
        <f>HYPERLINK("https://jicheng.tw/tcm/book/%e5%b9%bc%e7%a7%91%e6%8c%87%e5%8d%97/index.html")</f>
        <v>https://jicheng.tw/tcm/book/%e5%b9%bc%e7%a7%91%e6%8c%87%e5%8d%97/index.html</v>
      </c>
    </row>
    <row r="764" spans="1:10">
      <c r="A764" s="10" t="s">
        <v>2343</v>
      </c>
      <c r="B764" s="10"/>
      <c r="C764" s="10"/>
      <c r="D764" t="s">
        <v>1893</v>
      </c>
      <c r="E764" t="s">
        <v>776</v>
      </c>
      <c r="G764" s="14" t="s">
        <v>2496</v>
      </c>
      <c r="H764" s="14">
        <v>1156</v>
      </c>
      <c r="J764" t="str">
        <f>HYPERLINK("https://jicheng.tw/tcm/book/%e5%b0%8f%e5%85%92%e8%a1%9b%e7%94%9f%e7%b8%bd%e5%be%ae%e8%ab%96%e6%96%b9/index.html")</f>
        <v>https://jicheng.tw/tcm/book/%e5%b0%8f%e5%85%92%e8%a1%9b%e7%94%9f%e7%b8%bd%e5%be%ae%e8%ab%96%e6%96%b9/index.html</v>
      </c>
    </row>
    <row r="765" spans="1:10">
      <c r="A765" s="10" t="s">
        <v>2343</v>
      </c>
      <c r="B765" s="10"/>
      <c r="C765" s="10"/>
      <c r="D765" t="s">
        <v>777</v>
      </c>
      <c r="E765" t="s">
        <v>777</v>
      </c>
      <c r="F765" t="s">
        <v>3058</v>
      </c>
      <c r="G765" s="14" t="s">
        <v>2495</v>
      </c>
      <c r="H765" s="14">
        <v>1641</v>
      </c>
      <c r="J765" t="str">
        <f>HYPERLINK("https://jicheng.tw/tcm/book/%e5%b9%bc%e7%a7%91%e6%8a%98%e8%a1%b7/index.html")</f>
        <v>https://jicheng.tw/tcm/book/%e5%b9%bc%e7%a7%91%e6%8a%98%e8%a1%b7/index.html</v>
      </c>
    </row>
    <row r="766" spans="1:10">
      <c r="A766" s="10" t="s">
        <v>2343</v>
      </c>
      <c r="B766" s="10"/>
      <c r="C766" s="10"/>
      <c r="D766" t="s">
        <v>1894</v>
      </c>
      <c r="E766" t="s">
        <v>778</v>
      </c>
      <c r="F766" t="s">
        <v>2690</v>
      </c>
      <c r="G766" s="14" t="s">
        <v>2498</v>
      </c>
      <c r="H766" s="14">
        <v>1889</v>
      </c>
      <c r="J766" t="str">
        <f>HYPERLINK("https://jicheng.tw/tcm/book/%e9%ac%bb%e5%ac%b0%e6%8f%90%e8%a6%81%e8%aa%aa/index.html")</f>
        <v>https://jicheng.tw/tcm/book/%e9%ac%bb%e5%ac%b0%e6%8f%90%e8%a6%81%e8%aa%aa/index.html</v>
      </c>
    </row>
    <row r="767" spans="1:10">
      <c r="A767" s="10" t="s">
        <v>2343</v>
      </c>
      <c r="B767" s="10"/>
      <c r="C767" s="10"/>
      <c r="D767" t="s">
        <v>1895</v>
      </c>
      <c r="E767" t="s">
        <v>779</v>
      </c>
      <c r="F767" t="s">
        <v>3059</v>
      </c>
      <c r="G767" s="14" t="s">
        <v>2496</v>
      </c>
      <c r="H767" s="14">
        <v>1119</v>
      </c>
      <c r="J767" t="str">
        <f>HYPERLINK("https://jicheng.tw/tcm/book/%e5%b0%8f%e5%85%92%e8%97%a5%e8%ad%89%e7%9b%b4%e8%a8%a3/index.html")</f>
        <v>https://jicheng.tw/tcm/book/%e5%b0%8f%e5%85%92%e8%97%a5%e8%ad%89%e7%9b%b4%e8%a8%a3/index.html</v>
      </c>
    </row>
    <row r="768" spans="1:10">
      <c r="A768" s="10" t="s">
        <v>2343</v>
      </c>
      <c r="B768" s="10"/>
      <c r="C768" s="10"/>
      <c r="D768" t="s">
        <v>1896</v>
      </c>
      <c r="E768" t="s">
        <v>780</v>
      </c>
      <c r="F768" t="s">
        <v>3059</v>
      </c>
      <c r="G768" s="14" t="s">
        <v>2496</v>
      </c>
      <c r="J768" t="str">
        <f>HYPERLINK("https://jicheng.tw/tcm/book/%e5%b0%8f%e5%85%92%e8%97%a5%e8%ad%89%e7%9b%b4%e8%a8%a3%5f%31/index.html")</f>
        <v>https://jicheng.tw/tcm/book/%e5%b0%8f%e5%85%92%e8%97%a5%e8%ad%89%e7%9b%b4%e8%a8%a3%5f%31/index.html</v>
      </c>
    </row>
    <row r="769" spans="1:10">
      <c r="A769" s="10" t="s">
        <v>2343</v>
      </c>
      <c r="B769" s="10"/>
      <c r="C769" s="10"/>
      <c r="D769" t="s">
        <v>1897</v>
      </c>
      <c r="E769" t="s">
        <v>781</v>
      </c>
      <c r="F769" t="s">
        <v>3059</v>
      </c>
      <c r="G769" s="14" t="s">
        <v>2496</v>
      </c>
      <c r="J769" t="str">
        <f>HYPERLINK("https://jicheng.tw/tcm/book/%e9%8c%a2%e6%b0%8f%e5%b0%8f%e5%85%92%e7%9b%b4%e8%a8%a3/index.html")</f>
        <v>https://jicheng.tw/tcm/book/%e9%8c%a2%e6%b0%8f%e5%b0%8f%e5%85%92%e7%9b%b4%e8%a8%a3/index.html</v>
      </c>
    </row>
    <row r="770" spans="1:10">
      <c r="A770" s="10" t="s">
        <v>2343</v>
      </c>
      <c r="B770" s="10"/>
      <c r="C770" s="10"/>
      <c r="D770" t="s">
        <v>782</v>
      </c>
      <c r="E770" t="s">
        <v>782</v>
      </c>
      <c r="F770" t="s">
        <v>3060</v>
      </c>
      <c r="G770" s="14" t="s">
        <v>2495</v>
      </c>
      <c r="H770" s="14">
        <v>1704</v>
      </c>
      <c r="J770" t="str">
        <f>HYPERLINK("https://jicheng.tw/tcm/book/%e6%85%88%e5%b9%bc%e6%96%b0%e6%9b%b8/index.html")</f>
        <v>https://jicheng.tw/tcm/book/%e6%85%88%e5%b9%bc%e6%96%b0%e6%9b%b8/index.html</v>
      </c>
    </row>
    <row r="771" spans="1:10">
      <c r="A771" s="10" t="s">
        <v>2343</v>
      </c>
      <c r="B771" s="10"/>
      <c r="C771" s="10"/>
      <c r="D771" t="s">
        <v>1898</v>
      </c>
      <c r="E771" t="s">
        <v>783</v>
      </c>
      <c r="G771" s="14" t="s">
        <v>2496</v>
      </c>
      <c r="H771" s="14">
        <v>960</v>
      </c>
      <c r="J771" t="str">
        <f>HYPERLINK("https://jicheng.tw/tcm/book/%e9%a1%b1%e9%a1%96%e7%b6%93/index.html")</f>
        <v>https://jicheng.tw/tcm/book/%e9%a1%b1%e9%a1%96%e7%b6%93/index.html</v>
      </c>
    </row>
    <row r="772" spans="1:10">
      <c r="A772" s="10" t="s">
        <v>2343</v>
      </c>
      <c r="B772" s="10"/>
      <c r="C772" s="10"/>
      <c r="D772" t="s">
        <v>784</v>
      </c>
      <c r="E772" t="s">
        <v>784</v>
      </c>
      <c r="F772" t="s">
        <v>3048</v>
      </c>
      <c r="G772" s="14" t="s">
        <v>2501</v>
      </c>
      <c r="H772" s="14">
        <v>1332</v>
      </c>
      <c r="J772" t="str">
        <f>HYPERLINK("https://jicheng.tw/tcm/book/%e6%b4%bb%e5%b9%bc%e5%8f%a3%e8%ad%b0/index.html")</f>
        <v>https://jicheng.tw/tcm/book/%e6%b4%bb%e5%b9%bc%e5%8f%a3%e8%ad%b0/index.html</v>
      </c>
    </row>
    <row r="773" spans="1:10">
      <c r="A773" s="10" t="s">
        <v>2343</v>
      </c>
      <c r="B773" s="10"/>
      <c r="C773" s="10"/>
      <c r="D773" t="s">
        <v>785</v>
      </c>
      <c r="E773" t="s">
        <v>785</v>
      </c>
      <c r="F773" t="s">
        <v>3061</v>
      </c>
      <c r="G773" s="14" t="s">
        <v>2498</v>
      </c>
      <c r="H773" s="14">
        <v>1847</v>
      </c>
      <c r="J773" t="str">
        <f>HYPERLINK("https://jicheng.tw/tcm/book/%e5%b9%bc%e7%a7%91%e5%88%87%e8%a6%81/index.html")</f>
        <v>https://jicheng.tw/tcm/book/%e5%b9%bc%e7%a7%91%e5%88%87%e8%a6%81/index.html</v>
      </c>
    </row>
    <row r="774" spans="1:10">
      <c r="A774" s="10" t="s">
        <v>2343</v>
      </c>
      <c r="B774" s="10"/>
      <c r="C774" s="10"/>
      <c r="D774" t="s">
        <v>786</v>
      </c>
      <c r="E774" t="s">
        <v>786</v>
      </c>
      <c r="F774" t="s">
        <v>3062</v>
      </c>
      <c r="G774" s="14" t="s">
        <v>2495</v>
      </c>
      <c r="H774" s="14">
        <v>1622</v>
      </c>
      <c r="J774" t="str">
        <f>HYPERLINK("https://jicheng.tw/tcm/book/%e5%ac%b0%e7%ab%a5%e9%a1%9e%e8%90%83/index.html")</f>
        <v>https://jicheng.tw/tcm/book/%e5%ac%b0%e7%ab%a5%e9%a1%9e%e8%90%83/index.html</v>
      </c>
    </row>
    <row r="775" spans="1:10">
      <c r="A775" s="10" t="s">
        <v>2343</v>
      </c>
      <c r="B775" s="10"/>
      <c r="C775" s="10"/>
      <c r="D775" t="s">
        <v>1899</v>
      </c>
      <c r="E775" t="s">
        <v>787</v>
      </c>
      <c r="J775" t="str">
        <f>HYPERLINK("https://jicheng.tw/tcm/book/%e6%85%88%e5%b9%bc%e4%be%bf%e8%a6%bd/index.html")</f>
        <v>https://jicheng.tw/tcm/book/%e6%85%88%e5%b9%bc%e4%be%bf%e8%a6%bd/index.html</v>
      </c>
    </row>
    <row r="776" spans="1:10">
      <c r="A776" s="10" t="s">
        <v>2343</v>
      </c>
      <c r="B776" s="10"/>
      <c r="C776" s="10"/>
      <c r="D776" t="s">
        <v>788</v>
      </c>
      <c r="E776" t="s">
        <v>788</v>
      </c>
      <c r="J776" t="str">
        <f>HYPERLINK("https://jicheng.tw/tcm/book/%e9%99%b3%e6%b0%8f%e5%b9%bc%e7%a7%91%e7%a7%98%e8%a8%a3/index.html")</f>
        <v>https://jicheng.tw/tcm/book/%e9%99%b3%e6%b0%8f%e5%b9%bc%e7%a7%91%e7%a7%98%e8%a8%a3/index.html</v>
      </c>
    </row>
    <row r="777" spans="1:10">
      <c r="A777" s="10" t="s">
        <v>2343</v>
      </c>
      <c r="B777" s="10"/>
      <c r="C777" s="10"/>
      <c r="D777" t="s">
        <v>1900</v>
      </c>
      <c r="E777" t="s">
        <v>789</v>
      </c>
      <c r="F777" t="s">
        <v>2687</v>
      </c>
      <c r="G777" s="14" t="s">
        <v>2498</v>
      </c>
      <c r="H777" s="14">
        <v>1742</v>
      </c>
      <c r="J777" t="str">
        <f>HYPERLINK("https://jicheng.tw/tcm/book/%e9%86%ab%e5%ae%97%e9%87%91%e9%91%91/%e5%b9%bc%e7%a7%91%e5%bf%83%e6%b3%95%e8%a6%81%e8%a8%a3/index.html")</f>
        <v>https://jicheng.tw/tcm/book/%e9%86%ab%e5%ae%97%e9%87%91%e9%91%91/%e5%b9%bc%e7%a7%91%e5%bf%83%e6%b3%95%e8%a6%81%e8%a8%a3/index.html</v>
      </c>
    </row>
    <row r="778" spans="1:10">
      <c r="A778" s="10" t="s">
        <v>2343</v>
      </c>
      <c r="B778" s="10"/>
      <c r="C778" s="10"/>
      <c r="D778" t="s">
        <v>1901</v>
      </c>
      <c r="E778" t="s">
        <v>790</v>
      </c>
      <c r="F778" t="s">
        <v>3063</v>
      </c>
      <c r="G778" s="14" t="s">
        <v>2495</v>
      </c>
      <c r="H778" s="14">
        <v>1555</v>
      </c>
      <c r="J778" t="str">
        <f>HYPERLINK("https://jicheng.tw/tcm/book/%e4%bf%9d%e5%ac%b0%e9%87%91%e9%8f%a1%e9%8c%84/index.html")</f>
        <v>https://jicheng.tw/tcm/book/%e4%bf%9d%e5%ac%b0%e9%87%91%e9%8f%a1%e9%8c%84/index.html</v>
      </c>
    </row>
    <row r="779" spans="1:10">
      <c r="A779" s="10" t="s">
        <v>2343</v>
      </c>
      <c r="B779" s="10"/>
      <c r="C779" s="10"/>
      <c r="D779" t="s">
        <v>791</v>
      </c>
      <c r="E779" t="s">
        <v>791</v>
      </c>
      <c r="F779" t="s">
        <v>3064</v>
      </c>
      <c r="G779" s="14" t="s">
        <v>2495</v>
      </c>
      <c r="H779" s="14">
        <v>1505</v>
      </c>
      <c r="J779" t="str">
        <f>HYPERLINK("https://jicheng.tw/tcm/book/%e5%8e%9f%e5%b9%bc%e5%bf%83%e6%b3%95/index.html")</f>
        <v>https://jicheng.tw/tcm/book/%e5%8e%9f%e5%b9%bc%e5%bf%83%e6%b3%95/index.html</v>
      </c>
    </row>
    <row r="780" spans="1:10">
      <c r="A780" s="10" t="s">
        <v>2343</v>
      </c>
      <c r="B780" s="10"/>
      <c r="C780" s="10"/>
      <c r="D780" t="s">
        <v>1902</v>
      </c>
      <c r="E780" t="s">
        <v>792</v>
      </c>
      <c r="F780" t="s">
        <v>3065</v>
      </c>
      <c r="G780" s="14" t="s">
        <v>2495</v>
      </c>
      <c r="H780" s="14">
        <v>1636</v>
      </c>
      <c r="J780" t="str">
        <f>HYPERLINK("https://jicheng.tw/tcm/book/%e5%b0%8f%e5%85%92%e8%ab%b8%e8%ad%89%e8%a3%9c%e9%81%ba/index.html")</f>
        <v>https://jicheng.tw/tcm/book/%e5%b0%8f%e5%85%92%e8%ab%b8%e8%ad%89%e8%a3%9c%e9%81%ba/index.html</v>
      </c>
    </row>
    <row r="781" spans="1:10">
      <c r="A781" s="10" t="s">
        <v>2343</v>
      </c>
      <c r="B781" s="10"/>
      <c r="C781" s="10"/>
      <c r="D781" t="s">
        <v>1903</v>
      </c>
      <c r="E781" t="s">
        <v>793</v>
      </c>
      <c r="J781" t="str">
        <f>HYPERLINK("https://jicheng.tw/tcm/book/%e5%a4%a7%e9%86%ab%e9%a6%ac%e6%b0%8f%e5%b0%8f%e5%85%92%e8%84%88%e7%8f%8d%e7%a7%91/index.html")</f>
        <v>https://jicheng.tw/tcm/book/%e5%a4%a7%e9%86%ab%e9%a6%ac%e6%b0%8f%e5%b0%8f%e5%85%92%e8%84%88%e7%8f%8d%e7%a7%91/index.html</v>
      </c>
    </row>
    <row r="782" spans="1:10">
      <c r="A782" s="10" t="s">
        <v>2343</v>
      </c>
      <c r="B782" s="10"/>
      <c r="C782" s="10"/>
      <c r="D782" t="s">
        <v>1904</v>
      </c>
      <c r="E782" t="s">
        <v>794</v>
      </c>
      <c r="J782" t="str">
        <f>HYPERLINK("https://jicheng.tw/tcm/book/%e5%b9%bc%e7%a7%91%e6%8a%98%e8%a1%b7%e7%a7%98%e5%82%b3%e7%9c%9f%e6%9c%ac/index.html")</f>
        <v>https://jicheng.tw/tcm/book/%e5%b9%bc%e7%a7%91%e6%8a%98%e8%a1%b7%e7%a7%98%e5%82%b3%e7%9c%9f%e6%9c%ac/index.html</v>
      </c>
    </row>
    <row r="783" spans="1:10">
      <c r="A783" s="10" t="s">
        <v>2343</v>
      </c>
      <c r="B783" s="10"/>
      <c r="C783" s="10"/>
      <c r="D783" t="s">
        <v>795</v>
      </c>
      <c r="E783" t="s">
        <v>795</v>
      </c>
      <c r="J783" t="str">
        <f>HYPERLINK("https://jicheng.tw/tcm/book/%e8%aa%a0%e6%b1%82%e9%9b%86/index.html")</f>
        <v>https://jicheng.tw/tcm/book/%e8%aa%a0%e6%b1%82%e9%9b%86/index.html</v>
      </c>
    </row>
    <row r="784" spans="1:10">
      <c r="A784" s="10" t="s">
        <v>2343</v>
      </c>
      <c r="B784" s="10"/>
      <c r="C784" s="10"/>
      <c r="D784" t="s">
        <v>796</v>
      </c>
      <c r="E784" t="s">
        <v>796</v>
      </c>
      <c r="J784" t="str">
        <f>HYPERLINK("https://jicheng.tw/tcm/book/%e5%b9%bc%e7%a7%91%e5%bd%99%e8%a8%a3%e7%9b%b4%e8%a7%a3/index.html")</f>
        <v>https://jicheng.tw/tcm/book/%e5%b9%bc%e7%a7%91%e5%bd%99%e8%a8%a3%e7%9b%b4%e8%a7%a3/index.html</v>
      </c>
    </row>
    <row r="785" spans="1:10">
      <c r="A785" s="10" t="s">
        <v>2343</v>
      </c>
      <c r="B785" s="10"/>
      <c r="C785" s="10"/>
      <c r="D785" t="s">
        <v>1905</v>
      </c>
      <c r="E785" t="s">
        <v>797</v>
      </c>
      <c r="F785" t="s">
        <v>2644</v>
      </c>
      <c r="G785" s="14" t="s">
        <v>2495</v>
      </c>
      <c r="H785" s="14">
        <v>1602</v>
      </c>
      <c r="J785" t="str">
        <f>HYPERLINK("https://jicheng.tw/tcm/book/%e8%ad%89%e6%b2%bb%e6%ba%96%e7%b9%a9/%e5%b9%bc%e7%a7%91/index.html")</f>
        <v>https://jicheng.tw/tcm/book/%e8%ad%89%e6%b2%bb%e6%ba%96%e7%b9%a9/%e5%b9%bc%e7%a7%91/index.html</v>
      </c>
    </row>
    <row r="786" spans="1:10">
      <c r="A786" s="10" t="s">
        <v>2343</v>
      </c>
      <c r="B786" s="10"/>
      <c r="C786" s="10"/>
      <c r="D786" t="s">
        <v>1906</v>
      </c>
      <c r="E786" t="s">
        <v>798</v>
      </c>
      <c r="F786" t="s">
        <v>3018</v>
      </c>
      <c r="G786" s="14" t="s">
        <v>2498</v>
      </c>
      <c r="H786" s="14">
        <v>1795</v>
      </c>
      <c r="J786" t="str">
        <f>HYPERLINK("https://jicheng.tw/tcm/book/%e5%bd%a4%e5%9c%92%e9%86%ab%e6%9b%b8/%e5%b0%8f%e5%85%92%e7%a7%91/index.html")</f>
        <v>https://jicheng.tw/tcm/book/%e5%bd%a4%e5%9c%92%e9%86%ab%e6%9b%b8/%e5%b0%8f%e5%85%92%e7%a7%91/index.html</v>
      </c>
    </row>
    <row r="787" spans="1:10">
      <c r="A787" s="10" t="s">
        <v>2343</v>
      </c>
      <c r="B787" s="10"/>
      <c r="C787" s="10"/>
      <c r="D787" t="s">
        <v>1907</v>
      </c>
      <c r="E787" t="s">
        <v>799</v>
      </c>
      <c r="F787" t="s">
        <v>3019</v>
      </c>
      <c r="G787" s="14" t="s">
        <v>2498</v>
      </c>
      <c r="H787" s="14">
        <v>1804</v>
      </c>
      <c r="J787" t="str">
        <f>HYPERLINK("https://jicheng.tw/tcm/book/%e9%87%91%e5%8c%b1%e5%95%9f%e9%91%b0/%e5%b9%bc%e7%a7%91/index.html")</f>
        <v>https://jicheng.tw/tcm/book/%e9%87%91%e5%8c%b1%e5%95%9f%e9%91%b0/%e5%b9%bc%e7%a7%91/index.html</v>
      </c>
    </row>
    <row r="788" spans="1:10">
      <c r="A788" s="10" t="s">
        <v>2343</v>
      </c>
      <c r="B788" s="10"/>
      <c r="C788" s="10"/>
      <c r="D788" t="s">
        <v>800</v>
      </c>
      <c r="E788" t="s">
        <v>800</v>
      </c>
      <c r="F788" t="s">
        <v>3066</v>
      </c>
      <c r="G788" s="14" t="s">
        <v>2495</v>
      </c>
      <c r="H788" s="14">
        <v>1593</v>
      </c>
      <c r="J788" t="str">
        <f>HYPERLINK("https://jicheng.tw/tcm/book/%e5%b9%bc%e5%b9%bc%e9%9b%86/index.html")</f>
        <v>https://jicheng.tw/tcm/book/%e5%b9%bc%e5%b9%bc%e9%9b%86/index.html</v>
      </c>
    </row>
    <row r="789" spans="1:10">
      <c r="A789" s="10" t="s">
        <v>2343</v>
      </c>
      <c r="B789" s="10"/>
      <c r="C789" s="10"/>
      <c r="D789" t="s">
        <v>1908</v>
      </c>
      <c r="E789" t="s">
        <v>801</v>
      </c>
      <c r="F789" t="s">
        <v>3067</v>
      </c>
      <c r="J789" t="str">
        <f>HYPERLINK("https://jicheng.tw/tcm/book/%e5%b9%bc%e7%a7%91%e8%ad%89%e6%b2%bb%e5%a4%a7%e5%85%a8/index.html")</f>
        <v>https://jicheng.tw/tcm/book/%e5%b9%bc%e7%a7%91%e8%ad%89%e6%b2%bb%e5%a4%a7%e5%85%a8/index.html</v>
      </c>
    </row>
    <row r="790" spans="1:10">
      <c r="A790" s="10" t="s">
        <v>2343</v>
      </c>
      <c r="B790" s="10"/>
      <c r="C790" s="10"/>
      <c r="D790" t="s">
        <v>1909</v>
      </c>
      <c r="E790" t="s">
        <v>802</v>
      </c>
      <c r="F790" t="s">
        <v>3068</v>
      </c>
      <c r="H790" s="14">
        <v>1936</v>
      </c>
      <c r="J790" t="str">
        <f>HYPERLINK("https://jicheng.tw/tcm/book/%e4%b8%ad%e5%9c%8b%e5%85%92%e7%a7%91%e9%86%ab%e9%91%91/index.html")</f>
        <v>https://jicheng.tw/tcm/book/%e4%b8%ad%e5%9c%8b%e5%85%92%e7%a7%91%e9%86%ab%e9%91%91/index.html</v>
      </c>
    </row>
    <row r="791" spans="1:10">
      <c r="A791" s="10" t="s">
        <v>2343</v>
      </c>
      <c r="B791" s="10"/>
      <c r="C791" s="10"/>
      <c r="D791" t="s">
        <v>803</v>
      </c>
      <c r="E791" t="s">
        <v>803</v>
      </c>
      <c r="J791" t="str">
        <f>HYPERLINK("https://jicheng.tw/tcm/book/%e8%82%b2%e5%ac%b0%e5%ae%b6%e7%a7%98/index.html")</f>
        <v>https://jicheng.tw/tcm/book/%e8%82%b2%e5%ac%b0%e5%ae%b6%e7%a7%98/index.html</v>
      </c>
    </row>
    <row r="792" spans="1:10">
      <c r="A792" s="10" t="s">
        <v>2343</v>
      </c>
      <c r="B792" s="10"/>
      <c r="C792" s="10"/>
      <c r="D792" t="s">
        <v>1910</v>
      </c>
      <c r="E792" t="s">
        <v>804</v>
      </c>
      <c r="F792" t="s">
        <v>3043</v>
      </c>
      <c r="G792" s="14" t="s">
        <v>2495</v>
      </c>
      <c r="H792" s="14">
        <v>1654</v>
      </c>
      <c r="J792" t="str">
        <f>HYPERLINK("https://jicheng.tw/tcm/book/%e8%90%ac%e6%b0%8f%e7%a7%98%e5%82%b3%e7%89%87%e7%8e%89%e5%bf%83%e6%9b%b8/index.html")</f>
        <v>https://jicheng.tw/tcm/book/%e8%90%ac%e6%b0%8f%e7%a7%98%e5%82%b3%e7%89%87%e7%8e%89%e5%bf%83%e6%9b%b8/index.html</v>
      </c>
    </row>
    <row r="793" spans="1:10">
      <c r="A793" s="10" t="s">
        <v>2343</v>
      </c>
      <c r="B793" s="10"/>
      <c r="C793" s="10"/>
      <c r="D793" t="s">
        <v>1911</v>
      </c>
      <c r="E793" t="s">
        <v>805</v>
      </c>
      <c r="J793" t="str">
        <f>HYPERLINK("https://jicheng.tw/tcm/book/%e5%82%85%e6%b0%8f%e5%85%92%e7%a7%91/index.html")</f>
        <v>https://jicheng.tw/tcm/book/%e5%82%85%e6%b0%8f%e5%85%92%e7%a7%91/index.html</v>
      </c>
    </row>
    <row r="794" spans="1:10">
      <c r="A794" s="10" t="s">
        <v>2343</v>
      </c>
      <c r="B794" s="10"/>
      <c r="C794" s="10"/>
      <c r="D794" t="s">
        <v>806</v>
      </c>
      <c r="E794" t="s">
        <v>806</v>
      </c>
      <c r="F794" t="s">
        <v>3069</v>
      </c>
      <c r="G794" s="14" t="s">
        <v>2498</v>
      </c>
      <c r="H794" s="14">
        <v>1840</v>
      </c>
      <c r="J794" t="str">
        <f>HYPERLINK("https://jicheng.tw/tcm/book/%e9%ba%bb%e7%96%b9%e9%97%a1%e8%a8%bb/index.html")</f>
        <v>https://jicheng.tw/tcm/book/%e9%ba%bb%e7%96%b9%e9%97%a1%e8%a8%bb/index.html</v>
      </c>
    </row>
    <row r="795" spans="1:10">
      <c r="A795" s="10" t="s">
        <v>2343</v>
      </c>
      <c r="B795" s="10"/>
      <c r="C795" s="10"/>
      <c r="D795" t="s">
        <v>807</v>
      </c>
      <c r="E795" t="s">
        <v>807</v>
      </c>
      <c r="F795" t="s">
        <v>3070</v>
      </c>
      <c r="G795" s="14" t="s">
        <v>2498</v>
      </c>
      <c r="H795" s="14">
        <v>1748</v>
      </c>
      <c r="J795" t="str">
        <f>HYPERLINK("https://jicheng.tw/tcm/book/%e9%ba%bb%e7%a7%91%e6%b4%bb%e4%ba%ba%e5%85%a8%e6%9b%b8/index.html")</f>
        <v>https://jicheng.tw/tcm/book/%e9%ba%bb%e7%a7%91%e6%b4%bb%e4%ba%ba%e5%85%a8%e6%9b%b8/index.html</v>
      </c>
    </row>
    <row r="796" spans="1:10">
      <c r="A796" s="10" t="s">
        <v>2343</v>
      </c>
      <c r="B796" s="10"/>
      <c r="C796" s="10"/>
      <c r="D796" t="s">
        <v>1912</v>
      </c>
      <c r="E796" t="s">
        <v>808</v>
      </c>
      <c r="F796" t="s">
        <v>2687</v>
      </c>
      <c r="G796" s="14" t="s">
        <v>2498</v>
      </c>
      <c r="H796" s="14">
        <v>1742</v>
      </c>
      <c r="J796" t="str">
        <f>HYPERLINK("https://jicheng.tw/tcm/book/%e9%86%ab%e5%ae%97%e9%87%91%e9%91%91/%e7%97%98%e7%96%b9%e5%bf%83%e6%b3%95%e8%a6%81%e8%a8%a3/index.html")</f>
        <v>https://jicheng.tw/tcm/book/%e9%86%ab%e5%ae%97%e9%87%91%e9%91%91/%e7%97%98%e7%96%b9%e5%bf%83%e6%b3%95%e8%a6%81%e8%a8%a3/index.html</v>
      </c>
    </row>
    <row r="797" spans="1:10">
      <c r="A797" s="10" t="s">
        <v>2343</v>
      </c>
      <c r="B797" s="10"/>
      <c r="C797" s="10"/>
      <c r="D797" t="s">
        <v>809</v>
      </c>
      <c r="E797" t="s">
        <v>809</v>
      </c>
      <c r="F797" t="s">
        <v>3071</v>
      </c>
      <c r="G797" s="14" t="s">
        <v>2498</v>
      </c>
      <c r="H797" s="14">
        <v>1890</v>
      </c>
      <c r="J797" t="str">
        <f>HYPERLINK("https://jicheng.tw/tcm/book/%e7%97%a7%e7%96%b9%e8%bc%af%e8%a6%81/index.html")</f>
        <v>https://jicheng.tw/tcm/book/%e7%97%a7%e7%96%b9%e8%bc%af%e8%a6%81/index.html</v>
      </c>
    </row>
    <row r="798" spans="1:10">
      <c r="A798" s="10" t="s">
        <v>2343</v>
      </c>
      <c r="B798" s="10"/>
      <c r="C798" s="10"/>
      <c r="D798" t="s">
        <v>810</v>
      </c>
      <c r="E798" t="s">
        <v>810</v>
      </c>
      <c r="F798" t="s">
        <v>3072</v>
      </c>
      <c r="G798" s="14" t="s">
        <v>2498</v>
      </c>
      <c r="H798" s="14">
        <v>1828</v>
      </c>
      <c r="J798" t="str">
        <f>HYPERLINK("https://jicheng.tw/tcm/book/%e5%8e%9f%e7%98%84%e8%a6%81%e8%ab%96/index.html")</f>
        <v>https://jicheng.tw/tcm/book/%e5%8e%9f%e7%98%84%e8%a6%81%e8%ab%96/index.html</v>
      </c>
    </row>
    <row r="799" spans="1:10">
      <c r="A799" s="10" t="s">
        <v>2343</v>
      </c>
      <c r="B799" s="10"/>
      <c r="C799" s="10"/>
      <c r="D799" t="s">
        <v>1913</v>
      </c>
      <c r="E799" t="s">
        <v>811</v>
      </c>
      <c r="F799" t="s">
        <v>3073</v>
      </c>
      <c r="G799" s="14" t="s">
        <v>2498</v>
      </c>
      <c r="H799" s="14">
        <v>1890</v>
      </c>
      <c r="J799" t="str">
        <f>HYPERLINK("https://jicheng.tw/tcm/book/%e5%b0%88%e6%b2%bb%e9%ba%bb%e7%97%a7%e5%88%9d%e7%b7%a8/index.html")</f>
        <v>https://jicheng.tw/tcm/book/%e5%b0%88%e6%b2%bb%e9%ba%bb%e7%97%a7%e5%88%9d%e7%b7%a8/index.html</v>
      </c>
    </row>
    <row r="800" spans="1:10">
      <c r="A800" s="10" t="s">
        <v>2343</v>
      </c>
      <c r="B800" s="10"/>
      <c r="C800" s="10"/>
      <c r="D800" t="s">
        <v>1914</v>
      </c>
      <c r="E800" t="s">
        <v>812</v>
      </c>
      <c r="J800" t="str">
        <f>HYPERLINK("https://jicheng.tw/tcm/book/%e7%b6%93%e9%a9%97%e9%ba%bb%e7%a7%91/index.html")</f>
        <v>https://jicheng.tw/tcm/book/%e7%b6%93%e9%a9%97%e9%ba%bb%e7%a7%91/index.html</v>
      </c>
    </row>
    <row r="801" spans="1:10">
      <c r="A801" s="10" t="s">
        <v>2343</v>
      </c>
      <c r="B801" s="10"/>
      <c r="C801" s="10"/>
      <c r="D801" t="s">
        <v>1915</v>
      </c>
      <c r="E801" t="s">
        <v>813</v>
      </c>
      <c r="F801" t="s">
        <v>3074</v>
      </c>
      <c r="G801" s="14" t="s">
        <v>2515</v>
      </c>
      <c r="H801" s="14">
        <v>1253</v>
      </c>
      <c r="J801" t="str">
        <f>HYPERLINK("https://jicheng.tw/tcm/book/%e5%b0%8f%e5%85%92%e7%97%98%e7%96%b9%e6%96%b9%e8%ab%96/index.html")</f>
        <v>https://jicheng.tw/tcm/book/%e5%b0%8f%e5%85%92%e7%97%98%e7%96%b9%e6%96%b9%e8%ab%96/index.html</v>
      </c>
    </row>
    <row r="802" spans="1:10">
      <c r="A802" s="10" t="s">
        <v>2343</v>
      </c>
      <c r="B802" s="10"/>
      <c r="C802" s="10"/>
      <c r="D802" t="s">
        <v>814</v>
      </c>
      <c r="E802" t="s">
        <v>814</v>
      </c>
      <c r="F802" t="s">
        <v>3075</v>
      </c>
      <c r="G802" s="14" t="s">
        <v>2498</v>
      </c>
      <c r="H802" s="14">
        <v>1853</v>
      </c>
      <c r="J802" t="str">
        <f>HYPERLINK("https://jicheng.tw/tcm/book/%e9%ba%bb%e7%96%b9%e5%82%99%e8%a6%81%e6%96%b9%e8%ab%96/index.html")</f>
        <v>https://jicheng.tw/tcm/book/%e9%ba%bb%e7%96%b9%e5%82%99%e8%a6%81%e6%96%b9%e8%ab%96/index.html</v>
      </c>
    </row>
    <row r="803" spans="1:10">
      <c r="A803" s="10" t="s">
        <v>2343</v>
      </c>
      <c r="B803" s="10"/>
      <c r="C803" s="10"/>
      <c r="D803" t="s">
        <v>1916</v>
      </c>
      <c r="E803" t="s">
        <v>815</v>
      </c>
      <c r="F803" t="s">
        <v>2687</v>
      </c>
      <c r="G803" s="14" t="s">
        <v>2498</v>
      </c>
      <c r="H803" s="14">
        <v>1742</v>
      </c>
      <c r="J803" t="str">
        <f>HYPERLINK("https://jicheng.tw/tcm/book/%e9%86%ab%e5%ae%97%e9%87%91%e9%91%91/%e5%b9%bc%e7%a7%91%e7%a8%ae%e7%97%98%e5%bf%83%e6%b3%95%e8%a6%81%e6%97%a8/index.html")</f>
        <v>https://jicheng.tw/tcm/book/%e9%86%ab%e5%ae%97%e9%87%91%e9%91%91/%e5%b9%bc%e7%a7%91%e7%a8%ae%e7%97%98%e5%bf%83%e6%b3%95%e8%a6%81%e6%97%a8/index.html</v>
      </c>
    </row>
    <row r="804" spans="1:10">
      <c r="A804" s="10" t="s">
        <v>2343</v>
      </c>
      <c r="B804" s="10"/>
      <c r="C804" s="10"/>
      <c r="D804" t="s">
        <v>1917</v>
      </c>
      <c r="E804" t="s">
        <v>816</v>
      </c>
      <c r="F804" t="s">
        <v>3074</v>
      </c>
      <c r="G804" s="14" t="s">
        <v>2496</v>
      </c>
      <c r="J804" t="str">
        <f>HYPERLINK("https://jicheng.tw/tcm/book/%e9%99%b3%e6%b0%8f%e5%b0%8f%e5%85%92%e7%97%98%e7%96%b9%e6%96%b9%e8%ab%96/index.html")</f>
        <v>https://jicheng.tw/tcm/book/%e9%99%b3%e6%b0%8f%e5%b0%8f%e5%85%92%e7%97%98%e7%96%b9%e6%96%b9%e8%ab%96/index.html</v>
      </c>
    </row>
    <row r="805" spans="1:10">
      <c r="A805" s="10" t="s">
        <v>2343</v>
      </c>
      <c r="B805" s="10"/>
      <c r="C805" s="10"/>
      <c r="D805" t="s">
        <v>1918</v>
      </c>
      <c r="E805" t="s">
        <v>817</v>
      </c>
      <c r="J805" t="str">
        <f>HYPERLINK("https://jicheng.tw/tcm/book/%e6%96%b0%e8%a8%82%e7%97%98%e7%96%b9%e6%bf%9f%e4%b8%96%e7%9c%9f%e8%a9%ae/index.html")</f>
        <v>https://jicheng.tw/tcm/book/%e6%96%b0%e8%a8%82%e7%97%98%e7%96%b9%e6%bf%9f%e4%b8%96%e7%9c%9f%e8%a9%ae/index.html</v>
      </c>
    </row>
    <row r="806" spans="1:10">
      <c r="A806" s="10" t="s">
        <v>2343</v>
      </c>
      <c r="B806" s="10"/>
      <c r="C806" s="10"/>
      <c r="D806" t="s">
        <v>1919</v>
      </c>
      <c r="E806" t="s">
        <v>818</v>
      </c>
      <c r="J806" t="str">
        <f>HYPERLINK("https://jicheng.tw/tcm/book/%e9%ba%bb%e7%96%b9%e5%b0%88%e8%ab%96/index.html")</f>
        <v>https://jicheng.tw/tcm/book/%e9%ba%bb%e7%96%b9%e5%b0%88%e8%ab%96/index.html</v>
      </c>
    </row>
    <row r="807" spans="1:10">
      <c r="A807" s="10" t="s">
        <v>2343</v>
      </c>
      <c r="B807" s="10"/>
      <c r="C807" s="10"/>
      <c r="D807" t="s">
        <v>819</v>
      </c>
      <c r="E807" t="s">
        <v>819</v>
      </c>
      <c r="J807" t="str">
        <f>HYPERLINK("https://jicheng.tw/tcm/book/%e7%97%98%e7%96%b9%e7%b2%be%e8%a9%b3/index.html")</f>
        <v>https://jicheng.tw/tcm/book/%e7%97%98%e7%96%b9%e7%b2%be%e8%a9%b3/index.html</v>
      </c>
    </row>
    <row r="808" spans="1:10">
      <c r="A808" s="10" t="s">
        <v>2343</v>
      </c>
      <c r="B808" s="10"/>
      <c r="C808" s="10"/>
      <c r="D808" t="s">
        <v>820</v>
      </c>
      <c r="E808" t="s">
        <v>820</v>
      </c>
      <c r="F808" t="s">
        <v>3076</v>
      </c>
      <c r="G808" s="14" t="s">
        <v>2498</v>
      </c>
      <c r="H808" s="14">
        <v>1801</v>
      </c>
      <c r="J808" t="str">
        <f>HYPERLINK("https://jicheng.tw/tcm/book/%e7%97%98%e7%a7%91%e8%bc%af%e8%a6%81/index.html")</f>
        <v>https://jicheng.tw/tcm/book/%e7%97%98%e7%a7%91%e8%bc%af%e8%a6%81/index.html</v>
      </c>
    </row>
    <row r="809" spans="1:10">
      <c r="A809" s="10" t="s">
        <v>2343</v>
      </c>
      <c r="B809" s="10"/>
      <c r="C809" s="10"/>
      <c r="D809" t="s">
        <v>821</v>
      </c>
      <c r="E809" t="s">
        <v>821</v>
      </c>
      <c r="F809" t="s">
        <v>3077</v>
      </c>
      <c r="G809" s="14" t="s">
        <v>2498</v>
      </c>
      <c r="J809" t="str">
        <f>HYPERLINK("https://jicheng.tw/tcm/book/%e5%b9%bc%e7%a7%91%e9%a9%9a%e6%90%90%e9%96%80/index.html")</f>
        <v>https://jicheng.tw/tcm/book/%e5%b9%bc%e7%a7%91%e9%a9%9a%e6%90%90%e9%96%80/index.html</v>
      </c>
    </row>
    <row r="810" spans="1:10">
      <c r="A810" s="10" t="s">
        <v>2343</v>
      </c>
      <c r="B810" s="10"/>
      <c r="C810" s="10"/>
      <c r="D810" t="s">
        <v>822</v>
      </c>
      <c r="E810" t="s">
        <v>822</v>
      </c>
      <c r="F810" t="s">
        <v>3078</v>
      </c>
      <c r="G810" s="14" t="s">
        <v>2495</v>
      </c>
      <c r="H810" s="14">
        <v>1617</v>
      </c>
      <c r="J810" t="str">
        <f>HYPERLINK("https://jicheng.tw/tcm/book/%e7%96%b9%e7%a7%91%e9%a1%9e%e7%b7%a8/index.html")</f>
        <v>https://jicheng.tw/tcm/book/%e7%96%b9%e7%a7%91%e9%a1%9e%e7%b7%a8/index.html</v>
      </c>
    </row>
    <row r="811" spans="1:10">
      <c r="A811" s="10" t="s">
        <v>2343</v>
      </c>
      <c r="B811" s="10"/>
      <c r="C811" s="10"/>
      <c r="D811" t="s">
        <v>1920</v>
      </c>
      <c r="E811" t="s">
        <v>823</v>
      </c>
      <c r="F811" t="s">
        <v>2688</v>
      </c>
      <c r="G811" s="14" t="s">
        <v>2495</v>
      </c>
      <c r="H811" s="14">
        <v>1531</v>
      </c>
      <c r="J811" t="str">
        <f>HYPERLINK("https://jicheng.tw/tcm/book/%e7%97%98%e6%b2%bb%e7%90%86%e8%be%a8/index.html")</f>
        <v>https://jicheng.tw/tcm/book/%e7%97%98%e6%b2%bb%e7%90%86%e8%be%a8/index.html</v>
      </c>
    </row>
    <row r="812" spans="1:10">
      <c r="A812" s="10" t="s">
        <v>2343</v>
      </c>
      <c r="B812" s="10"/>
      <c r="C812" s="10"/>
      <c r="D812" t="s">
        <v>824</v>
      </c>
      <c r="E812" t="s">
        <v>824</v>
      </c>
      <c r="F812" t="s">
        <v>3079</v>
      </c>
      <c r="G812" s="14" t="s">
        <v>2498</v>
      </c>
      <c r="H812" s="14">
        <v>1664</v>
      </c>
      <c r="J812" t="str">
        <f>HYPERLINK("https://jicheng.tw/tcm/book/%e7%97%98%e7%96%b9%e7%94%9f%e6%b0%91%e5%88%87%e8%a6%81/index.html")</f>
        <v>https://jicheng.tw/tcm/book/%e7%97%98%e7%96%b9%e7%94%9f%e6%b0%91%e5%88%87%e8%a6%81/index.html</v>
      </c>
    </row>
    <row r="813" spans="1:10">
      <c r="A813" s="10" t="s">
        <v>2343</v>
      </c>
      <c r="B813" s="10"/>
      <c r="C813" s="10"/>
      <c r="D813" t="s">
        <v>825</v>
      </c>
      <c r="E813" t="s">
        <v>825</v>
      </c>
      <c r="J813" t="str">
        <f>HYPERLINK("https://jicheng.tw/tcm/book/%e7%89%87%e7%8e%89%e7%97%98%e7%96%b9/index.html")</f>
        <v>https://jicheng.tw/tcm/book/%e7%89%87%e7%8e%89%e7%97%98%e7%96%b9/index.html</v>
      </c>
    </row>
    <row r="814" spans="1:10">
      <c r="A814" s="10" t="s">
        <v>2343</v>
      </c>
      <c r="B814" s="10"/>
      <c r="C814" s="10"/>
      <c r="D814" t="s">
        <v>826</v>
      </c>
      <c r="E814" t="s">
        <v>826</v>
      </c>
      <c r="F814" t="s">
        <v>3043</v>
      </c>
      <c r="G814" s="14" t="s">
        <v>2495</v>
      </c>
      <c r="H814" s="14">
        <v>1781</v>
      </c>
      <c r="J814" t="str">
        <f>HYPERLINK("https://jicheng.tw/tcm/book/%e7%97%98%e7%96%b9%e5%bf%83%e6%b3%95/index.html")</f>
        <v>https://jicheng.tw/tcm/book/%e7%97%98%e7%96%b9%e5%bf%83%e6%b3%95/index.html</v>
      </c>
    </row>
    <row r="815" spans="1:10">
      <c r="A815" s="10" t="s">
        <v>2343</v>
      </c>
      <c r="B815" s="10"/>
      <c r="C815" s="10"/>
      <c r="D815" t="s">
        <v>1921</v>
      </c>
      <c r="E815" t="s">
        <v>827</v>
      </c>
      <c r="F815" t="s">
        <v>3080</v>
      </c>
      <c r="G815" s="14" t="s">
        <v>2498</v>
      </c>
      <c r="H815" s="14">
        <v>1676</v>
      </c>
      <c r="J815" t="str">
        <f>HYPERLINK("https://jicheng.tw/tcm/book/%e5%b0%8f%e5%85%92%e6%8e%a8%e6%8b%bf%e5%bb%a3%e6%84%8f/index.html")</f>
        <v>https://jicheng.tw/tcm/book/%e5%b0%8f%e5%85%92%e6%8e%a8%e6%8b%bf%e5%bb%a3%e6%84%8f/index.html</v>
      </c>
    </row>
    <row r="816" spans="1:10">
      <c r="A816" s="10" t="s">
        <v>2343</v>
      </c>
      <c r="B816" s="10"/>
      <c r="C816" s="10"/>
      <c r="D816" t="s">
        <v>828</v>
      </c>
      <c r="E816" t="s">
        <v>828</v>
      </c>
      <c r="F816" t="s">
        <v>3081</v>
      </c>
      <c r="G816" s="14" t="s">
        <v>2498</v>
      </c>
      <c r="H816" s="14">
        <v>1691</v>
      </c>
      <c r="J816" t="str">
        <f>HYPERLINK("https://jicheng.tw/tcm/book/%e5%b9%bc%e7%a7%91%e6%8e%a8%e6%8b%bf%e7%a7%98%e6%9b%b8/index.html")</f>
        <v>https://jicheng.tw/tcm/book/%e5%b9%bc%e7%a7%91%e6%8e%a8%e6%8b%bf%e7%a7%98%e6%9b%b8/index.html</v>
      </c>
    </row>
    <row r="817" spans="1:10">
      <c r="A817" s="10" t="s">
        <v>2343</v>
      </c>
      <c r="B817" s="10"/>
      <c r="C817" s="10"/>
      <c r="D817" t="s">
        <v>1922</v>
      </c>
      <c r="E817" t="s">
        <v>829</v>
      </c>
      <c r="F817" t="s">
        <v>2641</v>
      </c>
      <c r="G817" s="14" t="s">
        <v>2495</v>
      </c>
      <c r="H817" s="14">
        <v>1604</v>
      </c>
      <c r="J817" t="str">
        <f>HYPERLINK("https://jicheng.tw/tcm/book/%e5%b0%8f%e5%85%92%e6%8e%a8%e6%8b%bf%e6%96%b9%e8%84%88%e6%b4%bb%e5%ac%b0%e7%a7%98%e6%97%a8%e5%85%a8%e6%9b%b8/index.html")</f>
        <v>https://jicheng.tw/tcm/book/%e5%b0%8f%e5%85%92%e6%8e%a8%e6%8b%bf%e6%96%b9%e8%84%88%e6%b4%bb%e5%ac%b0%e7%a7%98%e6%97%a8%e5%85%a8%e6%9b%b8/index.html</v>
      </c>
    </row>
    <row r="818" spans="1:10">
      <c r="A818" s="10" t="s">
        <v>2343</v>
      </c>
      <c r="B818" s="10"/>
      <c r="C818" s="10"/>
      <c r="D818" t="s">
        <v>830</v>
      </c>
      <c r="E818" t="s">
        <v>830</v>
      </c>
      <c r="F818" t="s">
        <v>3082</v>
      </c>
      <c r="G818" s="14" t="s">
        <v>2512</v>
      </c>
      <c r="J818" t="str">
        <f>HYPERLINK("https://jicheng.tw/tcm/book/%e5%b0%91%e5%b0%8f%e5%ac%b0%e5%ad%ba%e6%96%b9/index.html")</f>
        <v>https://jicheng.tw/tcm/book/%e5%b0%91%e5%b0%8f%e5%ac%b0%e5%ad%ba%e6%96%b9/index.html</v>
      </c>
    </row>
    <row r="819" spans="1:10">
      <c r="A819" s="10" t="s">
        <v>2343</v>
      </c>
      <c r="B819" s="10"/>
      <c r="C819" s="10"/>
      <c r="D819" t="s">
        <v>1923</v>
      </c>
      <c r="E819" t="s">
        <v>831</v>
      </c>
      <c r="F819" t="s">
        <v>3083</v>
      </c>
      <c r="G819" s="14" t="s">
        <v>2495</v>
      </c>
      <c r="J819" t="str">
        <f>HYPERLINK("https://jicheng.tw/tcm/book/%e4%bb%81%e7%ab%af%e9%8c%84/index.html")</f>
        <v>https://jicheng.tw/tcm/book/%e4%bb%81%e7%ab%af%e9%8c%84/index.html</v>
      </c>
    </row>
    <row r="820" spans="1:10">
      <c r="A820" s="10" t="s">
        <v>2343</v>
      </c>
      <c r="B820" s="10"/>
      <c r="C820" s="10"/>
      <c r="D820" t="s">
        <v>832</v>
      </c>
      <c r="E820" t="s">
        <v>832</v>
      </c>
      <c r="F820" t="s">
        <v>3084</v>
      </c>
      <c r="G820" s="14" t="s">
        <v>2498</v>
      </c>
      <c r="J820" t="str">
        <f>HYPERLINK("https://jicheng.tw/tcm/book/%e4%bf%9d%e8%b5%a4%e6%96%b0%e6%9b%b8/index.html")</f>
        <v>https://jicheng.tw/tcm/book/%e4%bf%9d%e8%b5%a4%e6%96%b0%e6%9b%b8/index.html</v>
      </c>
    </row>
    <row r="821" spans="1:10">
      <c r="A821" s="10" t="s">
        <v>833</v>
      </c>
      <c r="B821" s="10"/>
      <c r="C821" s="10"/>
      <c r="D821" t="s">
        <v>1924</v>
      </c>
      <c r="E821" t="s">
        <v>834</v>
      </c>
      <c r="F821" t="s">
        <v>3085</v>
      </c>
      <c r="G821" s="14" t="s">
        <v>2498</v>
      </c>
      <c r="H821" s="14">
        <v>1831</v>
      </c>
      <c r="J821" t="str">
        <f>HYPERLINK("https://jicheng.tw/tcm/book/%e5%a4%96%e7%a7%91%e8%ad%89%e6%b2%bb%e5%85%a8%e6%9b%b8/index.html")</f>
        <v>https://jicheng.tw/tcm/book/%e5%a4%96%e7%a7%91%e8%ad%89%e6%b2%bb%e5%85%a8%e6%9b%b8/index.html</v>
      </c>
    </row>
    <row r="822" spans="1:10">
      <c r="A822" s="10" t="s">
        <v>833</v>
      </c>
      <c r="B822" s="10"/>
      <c r="C822" s="10"/>
      <c r="D822" t="s">
        <v>835</v>
      </c>
      <c r="E822" t="s">
        <v>835</v>
      </c>
      <c r="F822" t="s">
        <v>3086</v>
      </c>
      <c r="G822" s="14" t="s">
        <v>2498</v>
      </c>
      <c r="H822" s="14">
        <v>1733</v>
      </c>
      <c r="J822" t="str">
        <f>HYPERLINK("https://jicheng.tw/tcm/book/%e5%a4%96%e7%a7%91%e5%8d%81%e6%b3%95/index.html")</f>
        <v>https://jicheng.tw/tcm/book/%e5%a4%96%e7%a7%91%e5%8d%81%e6%b3%95/index.html</v>
      </c>
    </row>
    <row r="823" spans="1:10">
      <c r="A823" s="10" t="s">
        <v>833</v>
      </c>
      <c r="B823" s="10"/>
      <c r="C823" s="10"/>
      <c r="D823" t="s">
        <v>1925</v>
      </c>
      <c r="E823" t="s">
        <v>836</v>
      </c>
      <c r="F823" t="s">
        <v>3087</v>
      </c>
      <c r="G823" s="14" t="s">
        <v>2496</v>
      </c>
      <c r="H823" s="14" t="s">
        <v>3004</v>
      </c>
      <c r="J823" t="str">
        <f>HYPERLINK("https://jicheng.tw/tcm/book/%e8%a1%9b%e6%bf%9f%e5%af%b6%e6%9b%b8/index.html")</f>
        <v>https://jicheng.tw/tcm/book/%e8%a1%9b%e6%bf%9f%e5%af%b6%e6%9b%b8/index.html</v>
      </c>
    </row>
    <row r="824" spans="1:10">
      <c r="A824" s="10" t="s">
        <v>833</v>
      </c>
      <c r="B824" s="10"/>
      <c r="C824" s="10"/>
      <c r="D824" t="s">
        <v>1926</v>
      </c>
      <c r="E824" t="s">
        <v>837</v>
      </c>
      <c r="F824" t="s">
        <v>3088</v>
      </c>
      <c r="G824" s="14" t="s">
        <v>3089</v>
      </c>
      <c r="H824" s="14">
        <v>1382</v>
      </c>
      <c r="J824" t="str">
        <f>HYPERLINK("https://jicheng.tw/tcm/book/%e4%bb%99%e5%82%b3%e5%a4%96%e7%a7%91%e9%9b%86%e9%a9%97%e6%96%b9/index.html")</f>
        <v>https://jicheng.tw/tcm/book/%e4%bb%99%e5%82%b3%e5%a4%96%e7%a7%91%e9%9b%86%e9%a9%97%e6%96%b9/index.html</v>
      </c>
    </row>
    <row r="825" spans="1:10">
      <c r="A825" s="10" t="s">
        <v>833</v>
      </c>
      <c r="B825" s="10"/>
      <c r="C825" s="10"/>
      <c r="D825" t="s">
        <v>838</v>
      </c>
      <c r="E825" t="s">
        <v>838</v>
      </c>
      <c r="F825" t="s">
        <v>3090</v>
      </c>
      <c r="G825" s="14" t="s">
        <v>2501</v>
      </c>
      <c r="H825" s="14">
        <v>1335</v>
      </c>
      <c r="J825" t="str">
        <f>HYPERLINK("https://jicheng.tw/tcm/book/%e5%a4%96%e7%a7%91%e7%b2%be%e7%be%a9/index.html")</f>
        <v>https://jicheng.tw/tcm/book/%e5%a4%96%e7%a7%91%e7%b2%be%e7%be%a9/index.html</v>
      </c>
    </row>
    <row r="826" spans="1:10">
      <c r="A826" s="10" t="s">
        <v>833</v>
      </c>
      <c r="B826" s="10"/>
      <c r="C826" s="10"/>
      <c r="D826" t="s">
        <v>1927</v>
      </c>
      <c r="E826" t="s">
        <v>839</v>
      </c>
      <c r="F826" t="s">
        <v>3091</v>
      </c>
      <c r="G826" s="14" t="s">
        <v>2495</v>
      </c>
      <c r="H826" s="14">
        <v>1378</v>
      </c>
      <c r="J826" t="str">
        <f>HYPERLINK("https://jicheng.tw/tcm/book/%e5%a4%96%e7%a7%91%e9%9b%86%e9%a9%97%e6%96%b9/index.html")</f>
        <v>https://jicheng.tw/tcm/book/%e5%a4%96%e7%a7%91%e9%9b%86%e9%a9%97%e6%96%b9/index.html</v>
      </c>
    </row>
    <row r="827" spans="1:10">
      <c r="A827" s="10" t="s">
        <v>833</v>
      </c>
      <c r="B827" s="10"/>
      <c r="C827" s="10"/>
      <c r="D827" t="s">
        <v>1928</v>
      </c>
      <c r="E827" t="s">
        <v>840</v>
      </c>
      <c r="F827" t="s">
        <v>3088</v>
      </c>
      <c r="G827" s="14" t="s">
        <v>2495</v>
      </c>
      <c r="H827" s="14">
        <v>1395</v>
      </c>
      <c r="J827" t="str">
        <f>HYPERLINK("https://jicheng.tw/tcm/book/%e7%a7%98%e5%82%b3%e5%a4%96%e7%a7%91%e6%96%b9/index.html")</f>
        <v>https://jicheng.tw/tcm/book/%e7%a7%98%e5%82%b3%e5%a4%96%e7%a7%91%e6%96%b9/index.html</v>
      </c>
    </row>
    <row r="828" spans="1:10">
      <c r="A828" s="10" t="s">
        <v>833</v>
      </c>
      <c r="B828" s="10"/>
      <c r="C828" s="10"/>
      <c r="D828" t="s">
        <v>1929</v>
      </c>
      <c r="E828" t="s">
        <v>841</v>
      </c>
      <c r="F828" t="s">
        <v>3092</v>
      </c>
      <c r="G828" s="14" t="s">
        <v>2498</v>
      </c>
      <c r="H828" s="14">
        <v>1892</v>
      </c>
      <c r="J828" t="str">
        <f>HYPERLINK("https://jicheng.tw/tcm/book/%e5%a4%96%e7%a7%91%e5%82%b3%e8%96%aa%e9%9b%86/index.html")</f>
        <v>https://jicheng.tw/tcm/book/%e5%a4%96%e7%a7%91%e5%82%b3%e8%96%aa%e9%9b%86/index.html</v>
      </c>
    </row>
    <row r="829" spans="1:10">
      <c r="A829" s="10" t="s">
        <v>833</v>
      </c>
      <c r="B829" s="10"/>
      <c r="C829" s="10"/>
      <c r="D829" t="s">
        <v>1930</v>
      </c>
      <c r="E829" t="s">
        <v>842</v>
      </c>
      <c r="F829" t="s">
        <v>2982</v>
      </c>
      <c r="G829" s="14" t="s">
        <v>2498</v>
      </c>
      <c r="H829" s="14">
        <v>1742</v>
      </c>
      <c r="J829" t="str">
        <f>HYPERLINK("https://jicheng.tw/tcm/book/%e9%86%ab%e5%ae%97%e9%87%91%e9%91%91/%e5%a4%96%e7%a7%91%e5%bf%83%e6%b3%95%e8%a6%81%e8%a8%a3/index.html")</f>
        <v>https://jicheng.tw/tcm/book/%e9%86%ab%e5%ae%97%e9%87%91%e9%91%91/%e5%a4%96%e7%a7%91%e5%bf%83%e6%b3%95%e8%a6%81%e8%a8%a3/index.html</v>
      </c>
    </row>
    <row r="830" spans="1:10">
      <c r="A830" s="10" t="s">
        <v>833</v>
      </c>
      <c r="B830" s="10"/>
      <c r="C830" s="10"/>
      <c r="D830" t="s">
        <v>1931</v>
      </c>
      <c r="E830" t="s">
        <v>843</v>
      </c>
      <c r="F830" t="s">
        <v>3093</v>
      </c>
      <c r="G830" s="14" t="s">
        <v>2498</v>
      </c>
      <c r="H830" s="14">
        <v>1895</v>
      </c>
      <c r="J830" t="str">
        <f>HYPERLINK("https://jicheng.tw/tcm/book/%e5%a4%96%e7%a7%91%e9%86%ab%e9%8f%a1/index.html")</f>
        <v>https://jicheng.tw/tcm/book/%e5%a4%96%e7%a7%91%e9%86%ab%e9%8f%a1/index.html</v>
      </c>
    </row>
    <row r="831" spans="1:10">
      <c r="A831" s="10" t="s">
        <v>833</v>
      </c>
      <c r="B831" s="10"/>
      <c r="C831" s="10"/>
      <c r="D831" t="s">
        <v>844</v>
      </c>
      <c r="E831" t="s">
        <v>844</v>
      </c>
      <c r="F831" t="s">
        <v>3094</v>
      </c>
      <c r="G831" s="14" t="s">
        <v>2498</v>
      </c>
      <c r="H831" s="14">
        <v>1665</v>
      </c>
      <c r="J831" t="str">
        <f>HYPERLINK("https://jicheng.tw/tcm/book/%e5%a4%96%e7%a7%91%e5%a4%a7%e6%88%90/index.html")</f>
        <v>https://jicheng.tw/tcm/book/%e5%a4%96%e7%a7%91%e5%a4%a7%e6%88%90/index.html</v>
      </c>
    </row>
    <row r="832" spans="1:10">
      <c r="A832" s="10" t="s">
        <v>833</v>
      </c>
      <c r="B832" s="10"/>
      <c r="C832" s="10"/>
      <c r="D832" t="s">
        <v>845</v>
      </c>
      <c r="E832" t="s">
        <v>845</v>
      </c>
      <c r="F832" t="s">
        <v>3094</v>
      </c>
      <c r="G832" s="14" t="s">
        <v>2498</v>
      </c>
      <c r="J832" t="str">
        <f>HYPERLINK("https://jicheng.tw/tcm/book/%e5%a4%96%e7%a7%91%e5%a4%a7%e6%88%90%5f%31/index.html")</f>
        <v>https://jicheng.tw/tcm/book/%e5%a4%96%e7%a7%91%e5%a4%a7%e6%88%90%5f%31/index.html</v>
      </c>
    </row>
    <row r="833" spans="1:10">
      <c r="A833" s="10" t="s">
        <v>833</v>
      </c>
      <c r="B833" s="10"/>
      <c r="C833" s="10"/>
      <c r="D833" t="s">
        <v>846</v>
      </c>
      <c r="E833" t="s">
        <v>846</v>
      </c>
      <c r="F833" t="s">
        <v>3095</v>
      </c>
      <c r="G833" s="14" t="s">
        <v>2496</v>
      </c>
      <c r="H833" s="14">
        <v>1263</v>
      </c>
      <c r="J833" t="str">
        <f>HYPERLINK("https://jicheng.tw/tcm/book/%e5%a4%96%e7%a7%91%e7%b2%be%e8%a6%81/index.html")</f>
        <v>https://jicheng.tw/tcm/book/%e5%a4%96%e7%a7%91%e7%b2%be%e8%a6%81/index.html</v>
      </c>
    </row>
    <row r="834" spans="1:10">
      <c r="A834" s="10" t="s">
        <v>833</v>
      </c>
      <c r="B834" s="10"/>
      <c r="C834" s="10"/>
      <c r="D834" t="s">
        <v>1932</v>
      </c>
      <c r="E834" t="s">
        <v>847</v>
      </c>
      <c r="F834" t="s">
        <v>3096</v>
      </c>
      <c r="G834" s="14" t="s">
        <v>2498</v>
      </c>
      <c r="H834" s="14">
        <v>1760</v>
      </c>
      <c r="J834" t="str">
        <f>HYPERLINK("https://jicheng.tw/tcm/book/%e7%98%8d%e9%86%ab%e5%a4%a7%e5%85%a8/index.html")</f>
        <v>https://jicheng.tw/tcm/book/%e7%98%8d%e9%86%ab%e5%a4%a7%e5%85%a8/index.html</v>
      </c>
    </row>
    <row r="835" spans="1:10">
      <c r="A835" s="10" t="s">
        <v>833</v>
      </c>
      <c r="B835" s="10"/>
      <c r="C835" s="10"/>
      <c r="D835" t="s">
        <v>848</v>
      </c>
      <c r="E835" t="s">
        <v>848</v>
      </c>
      <c r="F835" t="s">
        <v>3097</v>
      </c>
      <c r="G835" s="14" t="s">
        <v>2495</v>
      </c>
      <c r="H835" s="14">
        <v>1617</v>
      </c>
      <c r="J835" t="str">
        <f>HYPERLINK("https://jicheng.tw/tcm/book/%e5%a4%96%e7%a7%91%e6%ad%a3%e5%ae%97/index.html")</f>
        <v>https://jicheng.tw/tcm/book/%e5%a4%96%e7%a7%91%e6%ad%a3%e5%ae%97/index.html</v>
      </c>
    </row>
    <row r="836" spans="1:10">
      <c r="A836" s="10" t="s">
        <v>833</v>
      </c>
      <c r="B836" s="10"/>
      <c r="C836" s="10"/>
      <c r="D836" t="s">
        <v>849</v>
      </c>
      <c r="E836" t="s">
        <v>849</v>
      </c>
      <c r="F836" t="s">
        <v>3097</v>
      </c>
      <c r="G836" s="14" t="s">
        <v>2495</v>
      </c>
      <c r="H836" s="14">
        <v>1617</v>
      </c>
      <c r="J836" t="str">
        <f>HYPERLINK("https://jicheng.tw/tcm/book/%e5%a4%96%e7%a7%91%e6%ad%a3%e5%ae%97%5f%31/index.html")</f>
        <v>https://jicheng.tw/tcm/book/%e5%a4%96%e7%a7%91%e6%ad%a3%e5%ae%97%5f%31/index.html</v>
      </c>
    </row>
    <row r="837" spans="1:10">
      <c r="A837" s="10" t="s">
        <v>833</v>
      </c>
      <c r="B837" s="10"/>
      <c r="C837" s="10"/>
      <c r="D837" t="s">
        <v>850</v>
      </c>
      <c r="E837" t="s">
        <v>850</v>
      </c>
      <c r="F837" t="s">
        <v>3098</v>
      </c>
      <c r="G837" s="14" t="s">
        <v>2498</v>
      </c>
      <c r="H837" s="14">
        <v>1776</v>
      </c>
      <c r="J837" t="str">
        <f>HYPERLINK("https://jicheng.tw/tcm/book/%e5%a4%96%e7%a7%91%e9%81%b8%e8%a6%81/index.html")</f>
        <v>https://jicheng.tw/tcm/book/%e5%a4%96%e7%a7%91%e9%81%b8%e8%a6%81/index.html</v>
      </c>
    </row>
    <row r="838" spans="1:10">
      <c r="A838" s="10" t="s">
        <v>833</v>
      </c>
      <c r="B838" s="10"/>
      <c r="C838" s="10"/>
      <c r="D838" t="s">
        <v>851</v>
      </c>
      <c r="E838" t="s">
        <v>851</v>
      </c>
      <c r="F838" t="s">
        <v>3099</v>
      </c>
      <c r="G838" s="14" t="s">
        <v>2498</v>
      </c>
      <c r="H838" s="14">
        <v>1893</v>
      </c>
      <c r="J838" t="str">
        <f>HYPERLINK("https://jicheng.tw/tcm/book/%e5%a4%96%e7%a7%91%e6%96%b9%e5%a4%96%e5%a5%87%e6%96%b9/index.html")</f>
        <v>https://jicheng.tw/tcm/book/%e5%a4%96%e7%a7%91%e6%96%b9%e5%a4%96%e5%a5%87%e6%96%b9/index.html</v>
      </c>
    </row>
    <row r="839" spans="1:10">
      <c r="A839" s="10" t="s">
        <v>833</v>
      </c>
      <c r="B839" s="10"/>
      <c r="C839" s="10"/>
      <c r="D839" t="s">
        <v>852</v>
      </c>
      <c r="E839" t="s">
        <v>852</v>
      </c>
      <c r="F839" t="s">
        <v>3100</v>
      </c>
      <c r="G839" s="14" t="s">
        <v>2498</v>
      </c>
      <c r="H839" s="14">
        <v>1740</v>
      </c>
      <c r="J839" t="str">
        <f>HYPERLINK("https://jicheng.tw/tcm/book/%e5%a4%96%e7%a7%91%e5%85%a8%e7%94%9f%e9%9b%86/index.html")</f>
        <v>https://jicheng.tw/tcm/book/%e5%a4%96%e7%a7%91%e5%85%a8%e7%94%9f%e9%9b%86/index.html</v>
      </c>
    </row>
    <row r="840" spans="1:10">
      <c r="A840" s="10" t="s">
        <v>833</v>
      </c>
      <c r="B840" s="10"/>
      <c r="C840" s="10"/>
      <c r="D840" t="s">
        <v>853</v>
      </c>
      <c r="E840" t="s">
        <v>853</v>
      </c>
      <c r="F840" t="s">
        <v>3101</v>
      </c>
      <c r="G840" s="14" t="s">
        <v>2495</v>
      </c>
      <c r="J840" t="str">
        <f>HYPERLINK("https://jicheng.tw/tcm/book/%e5%a4%96%e7%a7%91%e5%8d%81%e4%b8%89%e6%96%b9%e8%80%83/index.html")</f>
        <v>https://jicheng.tw/tcm/book/%e5%a4%96%e7%a7%91%e5%8d%81%e4%b8%89%e6%96%b9%e8%80%83/index.html</v>
      </c>
    </row>
    <row r="841" spans="1:10">
      <c r="A841" s="10" t="s">
        <v>833</v>
      </c>
      <c r="B841" s="10"/>
      <c r="C841" s="10"/>
      <c r="D841" t="s">
        <v>854</v>
      </c>
      <c r="E841" t="s">
        <v>854</v>
      </c>
      <c r="H841" s="14">
        <v>1673</v>
      </c>
      <c r="J841" t="str">
        <f>HYPERLINK("https://jicheng.tw/tcm/book/%e9%9d%92%e5%9b%8a%e7%a7%98%e8%a8%a3/index.html")</f>
        <v>https://jicheng.tw/tcm/book/%e9%9d%92%e5%9b%8a%e7%a7%98%e8%a8%a3/index.html</v>
      </c>
    </row>
    <row r="842" spans="1:10">
      <c r="A842" s="10" t="s">
        <v>833</v>
      </c>
      <c r="B842" s="10"/>
      <c r="C842" s="10"/>
      <c r="D842" t="s">
        <v>1933</v>
      </c>
      <c r="E842" t="s">
        <v>855</v>
      </c>
      <c r="J842" t="str">
        <f>HYPERLINK("https://jicheng.tw/tcm/book/%e8%90%ac%e6%b0%8f%e7%a7%98%e5%82%b3%e5%a4%96%e7%a7%91%e5%bf%83%e6%b3%95/index.html")</f>
        <v>https://jicheng.tw/tcm/book/%e8%90%ac%e6%b0%8f%e7%a7%98%e5%82%b3%e5%a4%96%e7%a7%91%e5%bf%83%e6%b3%95/index.html</v>
      </c>
    </row>
    <row r="843" spans="1:10">
      <c r="A843" s="10" t="s">
        <v>833</v>
      </c>
      <c r="B843" s="10"/>
      <c r="C843" s="10"/>
      <c r="D843" t="s">
        <v>1934</v>
      </c>
      <c r="E843" t="s">
        <v>856</v>
      </c>
      <c r="F843" t="s">
        <v>3102</v>
      </c>
      <c r="G843" s="14" t="s">
        <v>2495</v>
      </c>
      <c r="H843" s="14">
        <v>1604</v>
      </c>
      <c r="J843" t="str">
        <f>HYPERLINK("https://jicheng.tw/tcm/book/%e5%a4%96%e7%a7%91%e5%95%9f%e7%8e%84/index.html")</f>
        <v>https://jicheng.tw/tcm/book/%e5%a4%96%e7%a7%91%e5%95%9f%e7%8e%84/index.html</v>
      </c>
    </row>
    <row r="844" spans="1:10">
      <c r="A844" s="10" t="s">
        <v>833</v>
      </c>
      <c r="B844" s="10"/>
      <c r="C844" s="10"/>
      <c r="D844" t="s">
        <v>1935</v>
      </c>
      <c r="E844" t="s">
        <v>857</v>
      </c>
      <c r="F844" t="s">
        <v>2983</v>
      </c>
      <c r="G844" s="14" t="s">
        <v>2495</v>
      </c>
      <c r="H844" s="14">
        <v>1545</v>
      </c>
      <c r="J844" t="str">
        <f>HYPERLINK("https://jicheng.tw/tcm/book/%e5%a4%96%e7%a7%91%e6%a8%9e%e8%a6%81/index.html")</f>
        <v>https://jicheng.tw/tcm/book/%e5%a4%96%e7%a7%91%e6%a8%9e%e8%a6%81/index.html</v>
      </c>
    </row>
    <row r="845" spans="1:10">
      <c r="A845" s="10" t="s">
        <v>833</v>
      </c>
      <c r="B845" s="10"/>
      <c r="C845" s="10"/>
      <c r="D845" t="s">
        <v>1936</v>
      </c>
      <c r="E845" t="s">
        <v>858</v>
      </c>
      <c r="J845" t="str">
        <f>HYPERLINK("https://jicheng.tw/tcm/book/%e5%a4%96%e7%a7%91%e8%ad%89%e6%b2%bb%e7%a7%98%e8%a6%81/index.html")</f>
        <v>https://jicheng.tw/tcm/book/%e5%a4%96%e7%a7%91%e8%ad%89%e6%b2%bb%e7%a7%98%e8%a6%81/index.html</v>
      </c>
    </row>
    <row r="846" spans="1:10">
      <c r="A846" s="10" t="s">
        <v>833</v>
      </c>
      <c r="B846" s="10"/>
      <c r="C846" s="10"/>
      <c r="D846" t="s">
        <v>859</v>
      </c>
      <c r="E846" t="s">
        <v>859</v>
      </c>
      <c r="F846" t="s">
        <v>2983</v>
      </c>
      <c r="G846" s="14" t="s">
        <v>2495</v>
      </c>
      <c r="H846" s="14">
        <v>1528</v>
      </c>
      <c r="J846" t="str">
        <f>HYPERLINK("https://jicheng.tw/tcm/book/%e5%a4%96%e7%a7%91%e5%bf%83%e6%b3%95/index.html")</f>
        <v>https://jicheng.tw/tcm/book/%e5%a4%96%e7%a7%91%e5%bf%83%e6%b3%95/index.html</v>
      </c>
    </row>
    <row r="847" spans="1:10">
      <c r="A847" s="10" t="s">
        <v>833</v>
      </c>
      <c r="B847" s="10"/>
      <c r="C847" s="10"/>
      <c r="D847" t="s">
        <v>860</v>
      </c>
      <c r="E847" t="s">
        <v>860</v>
      </c>
      <c r="J847" t="str">
        <f>HYPERLINK("https://jicheng.tw/tcm/book/%e9%9d%92%e5%9b%8a%e5%85%a8%e9%9b%86%e7%a7%98%e6%97%a8/index.html")</f>
        <v>https://jicheng.tw/tcm/book/%e9%9d%92%e5%9b%8a%e5%85%a8%e9%9b%86%e7%a7%98%e6%97%a8/index.html</v>
      </c>
    </row>
    <row r="848" spans="1:10">
      <c r="A848" s="10" t="s">
        <v>833</v>
      </c>
      <c r="B848" s="10"/>
      <c r="C848" s="10"/>
      <c r="D848" t="s">
        <v>861</v>
      </c>
      <c r="E848" t="s">
        <v>861</v>
      </c>
      <c r="F848" t="s">
        <v>3103</v>
      </c>
      <c r="G848" s="14" t="s">
        <v>2498</v>
      </c>
      <c r="H848" s="14">
        <v>1904</v>
      </c>
      <c r="J848" t="str">
        <f>HYPERLINK("https://jicheng.tw/tcm/book/%e5%a4%96%e7%a7%91%e5%82%99%e8%a6%81/index.html")</f>
        <v>https://jicheng.tw/tcm/book/%e5%a4%96%e7%a7%91%e5%82%99%e8%a6%81/index.html</v>
      </c>
    </row>
    <row r="849" spans="1:10">
      <c r="A849" s="10" t="s">
        <v>833</v>
      </c>
      <c r="B849" s="10"/>
      <c r="C849" s="10"/>
      <c r="D849" t="s">
        <v>1937</v>
      </c>
      <c r="E849" t="s">
        <v>862</v>
      </c>
      <c r="F849" t="s">
        <v>2996</v>
      </c>
      <c r="G849" s="14" t="s">
        <v>2495</v>
      </c>
      <c r="H849" s="14">
        <v>1602</v>
      </c>
      <c r="J849" t="str">
        <f>HYPERLINK("https://jicheng.tw/tcm/book/%e8%ad%89%e6%b2%bb%e6%ba%96%e7%b9%a9/%e7%98%8d%e9%86%ab/index.html")</f>
        <v>https://jicheng.tw/tcm/book/%e8%ad%89%e6%b2%bb%e6%ba%96%e7%b9%a9/%e7%98%8d%e9%86%ab/index.html</v>
      </c>
    </row>
    <row r="850" spans="1:10">
      <c r="A850" s="10" t="s">
        <v>833</v>
      </c>
      <c r="B850" s="10"/>
      <c r="C850" s="10"/>
      <c r="D850" t="s">
        <v>1938</v>
      </c>
      <c r="E850" t="s">
        <v>863</v>
      </c>
      <c r="F850" t="s">
        <v>2997</v>
      </c>
      <c r="G850" s="14" t="s">
        <v>2498</v>
      </c>
      <c r="H850" s="14">
        <v>1795</v>
      </c>
      <c r="J850" t="str">
        <f>HYPERLINK("https://jicheng.tw/tcm/book/%e5%bd%a4%e5%9c%92%e9%86%ab%e6%9b%b8/%e5%a4%96%e7%a7%91/index.html")</f>
        <v>https://jicheng.tw/tcm/book/%e5%bd%a4%e5%9c%92%e9%86%ab%e6%9b%b8/%e5%a4%96%e7%a7%91/index.html</v>
      </c>
    </row>
    <row r="851" spans="1:10">
      <c r="A851" s="10" t="s">
        <v>833</v>
      </c>
      <c r="B851" s="10"/>
      <c r="C851" s="10"/>
      <c r="D851" t="s">
        <v>1939</v>
      </c>
      <c r="E851" t="s">
        <v>864</v>
      </c>
      <c r="F851" t="s">
        <v>3104</v>
      </c>
      <c r="G851" s="14" t="s">
        <v>2498</v>
      </c>
      <c r="H851" s="14">
        <v>1694</v>
      </c>
      <c r="J851" t="str">
        <f>HYPERLINK("https://jicheng.tw/tcm/book/%e6%b4%9e%e5%a4%a9%e5%a5%a7%e6%97%a8/index.html")</f>
        <v>https://jicheng.tw/tcm/book/%e6%b4%9e%e5%a4%a9%e5%a5%a7%e6%97%a8/index.html</v>
      </c>
    </row>
    <row r="852" spans="1:10">
      <c r="A852" s="10" t="s">
        <v>833</v>
      </c>
      <c r="B852" s="10"/>
      <c r="C852" s="10"/>
      <c r="D852" t="s">
        <v>1940</v>
      </c>
      <c r="E852" t="s">
        <v>865</v>
      </c>
      <c r="J852" t="str">
        <f>HYPERLINK("https://jicheng.tw/tcm/book/%e5%a4%96%e7%a7%91%e5%ad%b8%e8%a9%b1%e7%be%a9/index.html")</f>
        <v>https://jicheng.tw/tcm/book/%e5%a4%96%e7%a7%91%e5%ad%b8%e8%a9%b1%e7%be%a9/index.html</v>
      </c>
    </row>
    <row r="853" spans="1:10">
      <c r="A853" s="10" t="s">
        <v>833</v>
      </c>
      <c r="B853" s="10"/>
      <c r="C853" s="10"/>
      <c r="D853" t="s">
        <v>866</v>
      </c>
      <c r="E853" t="s">
        <v>866</v>
      </c>
      <c r="J853" t="str">
        <f>HYPERLINK("https://jicheng.tw/tcm/book/%e5%82%85%e6%b0%8f%e5%a4%96%e7%a7%91/index.html")</f>
        <v>https://jicheng.tw/tcm/book/%e5%82%85%e6%b0%8f%e5%a4%96%e7%a7%91/index.html</v>
      </c>
    </row>
    <row r="854" spans="1:10">
      <c r="A854" s="10" t="s">
        <v>833</v>
      </c>
      <c r="B854" s="10"/>
      <c r="C854" s="10"/>
      <c r="D854" t="s">
        <v>1941</v>
      </c>
      <c r="E854" t="s">
        <v>867</v>
      </c>
      <c r="J854" t="str">
        <f>HYPERLINK("https://jicheng.tw/tcm/book/%e6%96%b0%e5%88%bb%e5%9c%96%e5%bd%a2%e6%9e%95%e8%97%8f%e5%a4%96%e7%a7%91/index.html")</f>
        <v>https://jicheng.tw/tcm/book/%e6%96%b0%e5%88%bb%e5%9c%96%e5%bd%a2%e6%9e%95%e8%97%8f%e5%a4%96%e7%a7%91/index.html</v>
      </c>
    </row>
    <row r="855" spans="1:10">
      <c r="A855" s="10" t="s">
        <v>833</v>
      </c>
      <c r="B855" s="10"/>
      <c r="C855" s="10"/>
      <c r="D855" t="s">
        <v>868</v>
      </c>
      <c r="E855" t="s">
        <v>868</v>
      </c>
      <c r="F855" t="s">
        <v>3105</v>
      </c>
      <c r="G855" s="14" t="s">
        <v>2518</v>
      </c>
      <c r="H855" s="14">
        <v>1918</v>
      </c>
      <c r="J855" t="str">
        <f>HYPERLINK("https://jicheng.tw/tcm/book/%e7%97%b0%e7%99%a7%e6%b3%95%e9%96%80/index.html")</f>
        <v>https://jicheng.tw/tcm/book/%e7%97%b0%e7%99%a7%e6%b3%95%e9%96%80/index.html</v>
      </c>
    </row>
    <row r="856" spans="1:10">
      <c r="A856" s="10" t="s">
        <v>833</v>
      </c>
      <c r="B856" s="10"/>
      <c r="C856" s="10"/>
      <c r="D856" t="s">
        <v>869</v>
      </c>
      <c r="E856" t="s">
        <v>869</v>
      </c>
      <c r="F856" t="s">
        <v>3106</v>
      </c>
      <c r="G856" s="14" t="s">
        <v>2518</v>
      </c>
      <c r="J856" t="str">
        <f>HYPERLINK("https://jicheng.tw/tcm/book/%e7%98%8d%e7%a7%91%e7%b6%b1%e8%a6%81/index.html")</f>
        <v>https://jicheng.tw/tcm/book/%e7%98%8d%e7%a7%91%e7%b6%b1%e8%a6%81/index.html</v>
      </c>
    </row>
    <row r="857" spans="1:10">
      <c r="A857" s="10" t="s">
        <v>833</v>
      </c>
      <c r="B857" s="10"/>
      <c r="C857" s="10"/>
      <c r="D857" t="s">
        <v>1942</v>
      </c>
      <c r="E857" t="s">
        <v>870</v>
      </c>
      <c r="F857" t="s">
        <v>3107</v>
      </c>
      <c r="G857" s="14" t="s">
        <v>2495</v>
      </c>
      <c r="H857" s="14">
        <v>1550</v>
      </c>
      <c r="J857" t="str">
        <f>HYPERLINK("https://jicheng.tw/tcm/book/%e8%a7%a3%e5%9c%8d%e5%85%83%e8%97%aa/index.html")</f>
        <v>https://jicheng.tw/tcm/book/%e8%a7%a3%e5%9c%8d%e5%85%83%e8%97%aa/index.html</v>
      </c>
    </row>
    <row r="858" spans="1:10">
      <c r="A858" s="10" t="s">
        <v>833</v>
      </c>
      <c r="B858" s="10"/>
      <c r="C858" s="10"/>
      <c r="D858" t="s">
        <v>1943</v>
      </c>
      <c r="E858" t="s">
        <v>871</v>
      </c>
      <c r="F858" t="s">
        <v>3108</v>
      </c>
      <c r="G858" s="14" t="s">
        <v>2498</v>
      </c>
      <c r="H858" s="14">
        <v>1831</v>
      </c>
      <c r="J858" t="str">
        <f>HYPERLINK("https://jicheng.tw/tcm/book/%e7%98%8d%e7%a7%91%e6%8d%b7%e5%be%91/index.html")</f>
        <v>https://jicheng.tw/tcm/book/%e7%98%8d%e7%a7%91%e6%8d%b7%e5%be%91/index.html</v>
      </c>
    </row>
    <row r="859" spans="1:10">
      <c r="A859" s="10" t="s">
        <v>833</v>
      </c>
      <c r="B859" s="10"/>
      <c r="C859" s="10"/>
      <c r="D859" t="s">
        <v>1944</v>
      </c>
      <c r="E859" t="s">
        <v>872</v>
      </c>
      <c r="F859" t="s">
        <v>3109</v>
      </c>
      <c r="G859" s="14" t="s">
        <v>2496</v>
      </c>
      <c r="H859" s="14">
        <v>1196</v>
      </c>
      <c r="J859" t="str">
        <f>HYPERLINK("https://jicheng.tw/tcm/book/%e9%9b%86%e9%a9%97%e8%83%8c%e7%96%bd%e6%96%b9/index.html")</f>
        <v>https://jicheng.tw/tcm/book/%e9%9b%86%e9%a9%97%e8%83%8c%e7%96%bd%e6%96%b9/index.html</v>
      </c>
    </row>
    <row r="860" spans="1:10">
      <c r="A860" s="10" t="s">
        <v>833</v>
      </c>
      <c r="B860" s="10"/>
      <c r="C860" s="10"/>
      <c r="D860" t="s">
        <v>873</v>
      </c>
      <c r="E860" t="s">
        <v>873</v>
      </c>
      <c r="F860" t="s">
        <v>2983</v>
      </c>
      <c r="G860" s="14" t="s">
        <v>2495</v>
      </c>
      <c r="H860" s="14">
        <v>1554</v>
      </c>
      <c r="J860" t="str">
        <f>HYPERLINK("https://jicheng.tw/tcm/book/%e7%99%98%e7%98%8d%e6%a9%9f%e8%a6%81/index.html")</f>
        <v>https://jicheng.tw/tcm/book/%e7%99%98%e7%98%8d%e6%a9%9f%e8%a6%81/index.html</v>
      </c>
    </row>
    <row r="861" spans="1:10">
      <c r="A861" s="10" t="s">
        <v>833</v>
      </c>
      <c r="B861" s="10"/>
      <c r="C861" s="10"/>
      <c r="D861" t="s">
        <v>1945</v>
      </c>
      <c r="E861" t="s">
        <v>874</v>
      </c>
      <c r="F861" t="s">
        <v>2983</v>
      </c>
      <c r="G861" s="14" t="s">
        <v>2495</v>
      </c>
      <c r="H861" s="14">
        <v>1528</v>
      </c>
      <c r="J861" t="str">
        <f>HYPERLINK("https://jicheng.tw/tcm/book/%e7%ab%8b%e9%bd%8b%e5%a4%96%e7%a7%91%e7%99%bc%e6%8f%ae/index.html")</f>
        <v>https://jicheng.tw/tcm/book/%e7%ab%8b%e9%bd%8b%e5%a4%96%e7%a7%91%e7%99%bc%e6%8f%ae/index.html</v>
      </c>
    </row>
    <row r="862" spans="1:10">
      <c r="A862" s="10" t="s">
        <v>833</v>
      </c>
      <c r="B862" s="10"/>
      <c r="C862" s="10"/>
      <c r="D862" t="s">
        <v>875</v>
      </c>
      <c r="E862" t="s">
        <v>875</v>
      </c>
      <c r="F862" t="s">
        <v>3110</v>
      </c>
      <c r="G862" s="14" t="s">
        <v>3111</v>
      </c>
      <c r="H862" s="14" t="s">
        <v>3005</v>
      </c>
      <c r="J862" t="str">
        <f>HYPERLINK("https://jicheng.tw/tcm/book/%e5%8a%89%e6%b6%93%e5%ad%90%e9%ac%bc%e9%81%ba%e6%96%b9/index.html")</f>
        <v>https://jicheng.tw/tcm/book/%e5%8a%89%e6%b6%93%e5%ad%90%e9%ac%bc%e9%81%ba%e6%96%b9/index.html</v>
      </c>
    </row>
    <row r="863" spans="1:10">
      <c r="A863" s="10" t="s">
        <v>833</v>
      </c>
      <c r="B863" s="10"/>
      <c r="C863" s="10"/>
      <c r="D863" t="s">
        <v>876</v>
      </c>
      <c r="E863" t="s">
        <v>876</v>
      </c>
      <c r="J863" t="str">
        <f>HYPERLINK("https://jicheng.tw/tcm/book/%e9%ac%bc%e9%81%ba%e6%96%b9%5f%31/index.html")</f>
        <v>https://jicheng.tw/tcm/book/%e9%ac%bc%e9%81%ba%e6%96%b9%5f%31/index.html</v>
      </c>
    </row>
    <row r="864" spans="1:10">
      <c r="A864" s="10" t="s">
        <v>833</v>
      </c>
      <c r="B864" s="10"/>
      <c r="C864" s="10"/>
      <c r="D864" t="s">
        <v>877</v>
      </c>
      <c r="E864" t="s">
        <v>877</v>
      </c>
      <c r="F864" t="s">
        <v>3112</v>
      </c>
      <c r="G864" s="14" t="s">
        <v>2498</v>
      </c>
      <c r="H864" s="14">
        <v>1836</v>
      </c>
      <c r="J864" t="str">
        <f>HYPERLINK("https://jicheng.tw/tcm/book/%e7%98%8b%e9%96%80%e5%85%a8%e6%9b%b8/index.html")</f>
        <v>https://jicheng.tw/tcm/book/%e7%98%8b%e9%96%80%e5%85%a8%e6%9b%b8/index.html</v>
      </c>
    </row>
    <row r="865" spans="1:10">
      <c r="A865" s="10" t="s">
        <v>833</v>
      </c>
      <c r="B865" s="10"/>
      <c r="C865" s="10"/>
      <c r="D865" t="s">
        <v>878</v>
      </c>
      <c r="E865" t="s">
        <v>878</v>
      </c>
      <c r="F865" t="s">
        <v>3113</v>
      </c>
      <c r="G865" s="14" t="s">
        <v>2498</v>
      </c>
      <c r="H865" s="14">
        <v>1805</v>
      </c>
      <c r="J865" t="str">
        <f>HYPERLINK("https://jicheng.tw/tcm/book/%e7%98%8d%e7%a7%91%e5%bf%83%e5%be%97%e9%9b%86/index.html")</f>
        <v>https://jicheng.tw/tcm/book/%e7%98%8d%e7%a7%91%e5%bf%83%e5%be%97%e9%9b%86/index.html</v>
      </c>
    </row>
    <row r="866" spans="1:10">
      <c r="A866" s="10" t="s">
        <v>833</v>
      </c>
      <c r="B866" s="10"/>
      <c r="C866" s="10"/>
      <c r="D866" t="s">
        <v>1946</v>
      </c>
      <c r="E866" t="s">
        <v>879</v>
      </c>
      <c r="F866" t="s">
        <v>3114</v>
      </c>
      <c r="G866" s="14" t="s">
        <v>2498</v>
      </c>
      <c r="H866" s="14">
        <v>1840</v>
      </c>
      <c r="J866" t="str">
        <f>HYPERLINK("https://jicheng.tw/tcm/book/%e7%99%bc%e8%83%8c%e5%b0%8d%e5%8f%a3%e6%b2%bb%e8%a8%a3%e8%ab%96/index.html")</f>
        <v>https://jicheng.tw/tcm/book/%e7%99%bc%e8%83%8c%e5%b0%8d%e5%8f%a3%e6%b2%bb%e8%a8%a3%e8%ab%96/index.html</v>
      </c>
    </row>
    <row r="867" spans="1:10">
      <c r="A867" s="10" t="s">
        <v>833</v>
      </c>
      <c r="B867" s="10"/>
      <c r="C867" s="10"/>
      <c r="D867" t="s">
        <v>880</v>
      </c>
      <c r="E867" t="s">
        <v>880</v>
      </c>
      <c r="J867" t="str">
        <f>HYPERLINK("https://jicheng.tw/tcm/book/%e7%99%a7%e7%a7%91%e5%85%a8%e6%9b%b8/index.html")</f>
        <v>https://jicheng.tw/tcm/book/%e7%99%a7%e7%a7%91%e5%85%a8%e6%9b%b8/index.html</v>
      </c>
    </row>
    <row r="868" spans="1:10">
      <c r="A868" s="10" t="s">
        <v>833</v>
      </c>
      <c r="B868" s="10"/>
      <c r="C868" s="10"/>
      <c r="D868" t="s">
        <v>881</v>
      </c>
      <c r="E868" t="s">
        <v>881</v>
      </c>
      <c r="F868" t="s">
        <v>3002</v>
      </c>
      <c r="G868" s="14" t="s">
        <v>2495</v>
      </c>
      <c r="H868" s="14">
        <v>1531</v>
      </c>
      <c r="J868" t="str">
        <f>HYPERLINK("https://jicheng.tw/tcm/book/%e5%a4%96%e7%a7%91%e7%90%86%e4%be%8b/index.html")</f>
        <v>https://jicheng.tw/tcm/book/%e5%a4%96%e7%a7%91%e7%90%86%e4%be%8b/index.html</v>
      </c>
    </row>
    <row r="869" spans="1:10">
      <c r="A869" s="10" t="s">
        <v>833</v>
      </c>
      <c r="B869" s="10"/>
      <c r="C869" s="10"/>
      <c r="D869" t="s">
        <v>1947</v>
      </c>
      <c r="E869" t="s">
        <v>882</v>
      </c>
      <c r="F869" t="s">
        <v>3115</v>
      </c>
      <c r="G869" s="14" t="s">
        <v>2495</v>
      </c>
      <c r="J869" t="str">
        <f>HYPERLINK("https://jicheng.tw/tcm/book/%e7%99%b0%e7%96%bd%e7%a5%9e%e7%a7%98%e9%a9%97%e6%96%b9/index.html")</f>
        <v>https://jicheng.tw/tcm/book/%e7%99%b0%e7%96%bd%e7%a5%9e%e7%a7%98%e9%a9%97%e6%96%b9/index.html</v>
      </c>
    </row>
    <row r="870" spans="1:10">
      <c r="A870" s="10" t="s">
        <v>833</v>
      </c>
      <c r="B870" s="10"/>
      <c r="C870" s="10"/>
      <c r="D870" t="s">
        <v>883</v>
      </c>
      <c r="E870" t="s">
        <v>883</v>
      </c>
      <c r="J870" t="str">
        <f>HYPERLINK("https://jicheng.tw/tcm/book/%e9%84%92%e6%b0%8f%e7%b4%94%e6%87%bf%e3%bf%96%e9%9b%86/%e7%98%a1%e7%98%8d/index.html")</f>
        <v>https://jicheng.tw/tcm/book/%e9%84%92%e6%b0%8f%e7%b4%94%e6%87%bf%e3%bf%96%e9%9b%86/%e7%98%a1%e7%98%8d/index.html</v>
      </c>
    </row>
    <row r="871" spans="1:10">
      <c r="A871" s="10" t="s">
        <v>833</v>
      </c>
      <c r="B871" s="10"/>
      <c r="C871" s="10"/>
      <c r="D871" t="s">
        <v>884</v>
      </c>
      <c r="E871" t="s">
        <v>884</v>
      </c>
      <c r="F871" t="s">
        <v>3000</v>
      </c>
      <c r="G871" s="14" t="s">
        <v>2498</v>
      </c>
      <c r="J871" t="str">
        <f>HYPERLINK("https://jicheng.tw/tcm/book/%e9%bb%b4%e7%99%98%e6%96%b0%e6%9b%b8/index.html")</f>
        <v>https://jicheng.tw/tcm/book/%e9%bb%b4%e7%99%98%e6%96%b0%e6%9b%b8/index.html</v>
      </c>
    </row>
    <row r="872" spans="1:10">
      <c r="A872" s="10" t="s">
        <v>833</v>
      </c>
      <c r="B872" s="10"/>
      <c r="C872" s="10"/>
      <c r="D872" t="s">
        <v>1948</v>
      </c>
      <c r="E872" t="s">
        <v>885</v>
      </c>
      <c r="F872" t="s">
        <v>3116</v>
      </c>
      <c r="J872" t="str">
        <f>HYPERLINK("https://jicheng.tw/tcm/book/%e7%96%9d%e6%b0%a3%e8%ad%89%e6%b2%bb%e8%ab%96/index.html")</f>
        <v>https://jicheng.tw/tcm/book/%e7%96%9d%e6%b0%a3%e8%ad%89%e6%b2%bb%e8%ab%96/index.html</v>
      </c>
    </row>
    <row r="873" spans="1:10">
      <c r="A873" s="10" t="s">
        <v>833</v>
      </c>
      <c r="B873" s="10"/>
      <c r="C873" s="10"/>
      <c r="D873" t="s">
        <v>886</v>
      </c>
      <c r="E873" t="s">
        <v>886</v>
      </c>
      <c r="J873" t="str">
        <f>HYPERLINK("https://jicheng.tw/tcm/book/%e7%96%9d%e7%97%87%e7%a9%8d%e8%81%9a/index.html")</f>
        <v>https://jicheng.tw/tcm/book/%e7%96%9d%e7%97%87%e7%a9%8d%e8%81%9a/index.html</v>
      </c>
    </row>
    <row r="874" spans="1:10">
      <c r="A874" s="10" t="s">
        <v>887</v>
      </c>
      <c r="B874" s="10"/>
      <c r="C874" s="10"/>
      <c r="D874" t="s">
        <v>1949</v>
      </c>
      <c r="E874" t="s">
        <v>888</v>
      </c>
      <c r="J874" t="str">
        <f>HYPERLINK("https://jicheng.tw/tcm/book/%e7%a7%98%e5%82%b3%e5%8a%89%e4%bc%af%e6%ba%ab%e5%ae%b6%e8%97%8f%e6%8e%a5%e9%aa%a8%e9%87%91%e7%98%a1%e7%a6%81%e6%96%b9/index.html")</f>
        <v>https://jicheng.tw/tcm/book/%e7%a7%98%e5%82%b3%e5%8a%89%e4%bc%af%e6%ba%ab%e5%ae%b6%e8%97%8f%e6%8e%a5%e9%aa%a8%e9%87%91%e7%98%a1%e7%a6%81%e6%96%b9/index.html</v>
      </c>
    </row>
    <row r="875" spans="1:10">
      <c r="A875" s="10" t="s">
        <v>887</v>
      </c>
      <c r="B875" s="10"/>
      <c r="C875" s="10"/>
      <c r="D875" t="s">
        <v>889</v>
      </c>
      <c r="E875" t="s">
        <v>889</v>
      </c>
      <c r="H875" s="14">
        <v>1643</v>
      </c>
      <c r="J875" t="str">
        <f>HYPERLINK("https://jicheng.tw/tcm/book/%e6%8e%a5%e9%aa%a8%e6%89%8b%e6%b3%95/index.html")</f>
        <v>https://jicheng.tw/tcm/book/%e6%8e%a5%e9%aa%a8%e6%89%8b%e6%b3%95/index.html</v>
      </c>
    </row>
    <row r="876" spans="1:10">
      <c r="A876" s="10" t="s">
        <v>887</v>
      </c>
      <c r="B876" s="10"/>
      <c r="C876" s="10"/>
      <c r="D876" t="s">
        <v>1950</v>
      </c>
      <c r="E876" t="s">
        <v>890</v>
      </c>
      <c r="J876" t="str">
        <f>HYPERLINK("https://jicheng.tw/tcm/book/%e9%87%91%e7%98%a1%e7%a7%98%e5%82%b3%e7%a6%81%e6%96%b9/index.html")</f>
        <v>https://jicheng.tw/tcm/book/%e9%87%91%e7%98%a1%e7%a7%98%e5%82%b3%e7%a6%81%e6%96%b9/index.html</v>
      </c>
    </row>
    <row r="877" spans="1:10">
      <c r="A877" s="10" t="s">
        <v>887</v>
      </c>
      <c r="B877" s="10"/>
      <c r="C877" s="10"/>
      <c r="D877" t="s">
        <v>891</v>
      </c>
      <c r="E877" t="s">
        <v>891</v>
      </c>
      <c r="J877" t="str">
        <f>HYPERLINK("https://jicheng.tw/tcm/book/%e8%b7%8c%e6%89%93%e7%a7%98%e6%96%b9/index.html")</f>
        <v>https://jicheng.tw/tcm/book/%e8%b7%8c%e6%89%93%e7%a7%98%e6%96%b9/index.html</v>
      </c>
    </row>
    <row r="878" spans="1:10">
      <c r="A878" s="10" t="s">
        <v>887</v>
      </c>
      <c r="B878" s="10"/>
      <c r="C878" s="10"/>
      <c r="D878" t="s">
        <v>892</v>
      </c>
      <c r="E878" t="s">
        <v>892</v>
      </c>
      <c r="F878" t="s">
        <v>3117</v>
      </c>
      <c r="G878" s="14" t="s">
        <v>2498</v>
      </c>
      <c r="H878" s="14">
        <v>1891</v>
      </c>
      <c r="J878" t="str">
        <f>HYPERLINK("https://jicheng.tw/tcm/book/%e5%82%b7%e7%a7%91%e5%a4%a7%e6%88%90/index.html")</f>
        <v>https://jicheng.tw/tcm/book/%e5%82%b7%e7%a7%91%e5%a4%a7%e6%88%90/index.html</v>
      </c>
    </row>
    <row r="879" spans="1:10">
      <c r="A879" s="10" t="s">
        <v>887</v>
      </c>
      <c r="B879" s="10"/>
      <c r="C879" s="10"/>
      <c r="D879" t="s">
        <v>1951</v>
      </c>
      <c r="E879" t="s">
        <v>893</v>
      </c>
      <c r="J879" t="str">
        <f>HYPERLINK("https://jicheng.tw/tcm/book/%e5%82%b7%e7%a7%91%e5%a4%a7%e6%88%90%5f%e6%a2%9d%e5%88%97%e7%89%88/index.html")</f>
        <v>https://jicheng.tw/tcm/book/%e5%82%b7%e7%a7%91%e5%a4%a7%e6%88%90%5f%e6%a2%9d%e5%88%97%e7%89%88/index.html</v>
      </c>
    </row>
    <row r="880" spans="1:10">
      <c r="A880" s="10" t="s">
        <v>887</v>
      </c>
      <c r="B880" s="10"/>
      <c r="C880" s="10"/>
      <c r="D880" t="s">
        <v>1952</v>
      </c>
      <c r="E880" t="s">
        <v>894</v>
      </c>
      <c r="J880" t="str">
        <f>HYPERLINK("https://jicheng.tw/tcm/book/%e6%b1%9f%e6%b0%8f%e5%82%b7%e7%a7%91%e5%ad%b8/index.html")</f>
        <v>https://jicheng.tw/tcm/book/%e6%b1%9f%e6%b0%8f%e5%82%b7%e7%a7%91%e5%ad%b8/index.html</v>
      </c>
    </row>
    <row r="881" spans="1:10">
      <c r="A881" s="10" t="s">
        <v>887</v>
      </c>
      <c r="B881" s="10"/>
      <c r="C881" s="10"/>
      <c r="D881" t="s">
        <v>1953</v>
      </c>
      <c r="E881" t="s">
        <v>895</v>
      </c>
      <c r="G881" s="14" t="s">
        <v>2498</v>
      </c>
      <c r="H881" s="14">
        <v>1900</v>
      </c>
      <c r="J881" t="str">
        <f>HYPERLINK("https://jicheng.tw/tcm/book/%e5%b0%91%e6%9e%97%e7%9c%9f%e5%82%b3%e5%82%b7%e7%a7%91%e7%a7%98%e6%96%b9/index.html")</f>
        <v>https://jicheng.tw/tcm/book/%e5%b0%91%e6%9e%97%e7%9c%9f%e5%82%b3%e5%82%b7%e7%a7%91%e7%a7%98%e6%96%b9/index.html</v>
      </c>
    </row>
    <row r="882" spans="1:10">
      <c r="A882" s="10" t="s">
        <v>887</v>
      </c>
      <c r="B882" s="10"/>
      <c r="C882" s="10"/>
      <c r="D882" t="s">
        <v>1954</v>
      </c>
      <c r="E882" t="s">
        <v>896</v>
      </c>
      <c r="J882" t="str">
        <f>HYPERLINK("https://jicheng.tw/tcm/book/%e9%87%91%e7%98%a1%e8%b7%8c%e6%89%93%e6%8e%a5%e9%aa%a8%e8%97%a5%e6%80%a7%e7%a7%98%e6%9b%b8/index.html")</f>
        <v>https://jicheng.tw/tcm/book/%e9%87%91%e7%98%a1%e8%b7%8c%e6%89%93%e6%8e%a5%e9%aa%a8%e8%97%a5%e6%80%a7%e7%a7%98%e6%9b%b8/index.html</v>
      </c>
    </row>
    <row r="883" spans="1:10">
      <c r="A883" s="10" t="s">
        <v>887</v>
      </c>
      <c r="B883" s="10"/>
      <c r="C883" s="10"/>
      <c r="D883" t="s">
        <v>897</v>
      </c>
      <c r="E883" t="s">
        <v>897</v>
      </c>
      <c r="F883" t="s">
        <v>3118</v>
      </c>
      <c r="G883" s="14" t="s">
        <v>2495</v>
      </c>
      <c r="H883" s="14">
        <v>1523</v>
      </c>
      <c r="J883" t="str">
        <f>HYPERLINK("https://jicheng.tw/tcm/book/%e8%b7%8c%e6%90%8d%e5%a6%99%e6%96%b9/index.html")</f>
        <v>https://jicheng.tw/tcm/book/%e8%b7%8c%e6%90%8d%e5%a6%99%e6%96%b9/index.html</v>
      </c>
    </row>
    <row r="884" spans="1:10">
      <c r="A884" s="10" t="s">
        <v>887</v>
      </c>
      <c r="B884" s="10"/>
      <c r="C884" s="10"/>
      <c r="D884" t="s">
        <v>898</v>
      </c>
      <c r="E884" t="s">
        <v>898</v>
      </c>
      <c r="F884" t="s">
        <v>3119</v>
      </c>
      <c r="G884" s="14" t="s">
        <v>2498</v>
      </c>
      <c r="H884" s="14">
        <v>1808</v>
      </c>
      <c r="J884" t="str">
        <f>HYPERLINK("https://jicheng.tw/tcm/book/%e5%82%b7%e7%a7%91%e5%bd%99%e7%ba%82/index.html")</f>
        <v>https://jicheng.tw/tcm/book/%e5%82%b7%e7%a7%91%e5%bd%99%e7%ba%82/index.html</v>
      </c>
    </row>
    <row r="885" spans="1:10">
      <c r="A885" s="10" t="s">
        <v>887</v>
      </c>
      <c r="B885" s="10"/>
      <c r="C885" s="10"/>
      <c r="D885" t="s">
        <v>899</v>
      </c>
      <c r="E885" t="s">
        <v>899</v>
      </c>
      <c r="F885" t="s">
        <v>3108</v>
      </c>
      <c r="J885" t="str">
        <f>HYPERLINK("https://jicheng.tw/tcm/book/%e8%b7%8c%e6%89%93%e6%90%8d%e5%82%b7%e6%96%b9/index.html")</f>
        <v>https://jicheng.tw/tcm/book/%e8%b7%8c%e6%89%93%e6%90%8d%e5%82%b7%e6%96%b9/index.html</v>
      </c>
    </row>
    <row r="886" spans="1:10">
      <c r="A886" s="10" t="s">
        <v>887</v>
      </c>
      <c r="B886" s="10"/>
      <c r="C886" s="10"/>
      <c r="D886" t="s">
        <v>900</v>
      </c>
      <c r="E886" t="s">
        <v>900</v>
      </c>
      <c r="F886" t="s">
        <v>3120</v>
      </c>
      <c r="G886" s="14" t="s">
        <v>2498</v>
      </c>
      <c r="H886" s="14">
        <v>1808</v>
      </c>
      <c r="J886" t="str">
        <f>HYPERLINK("https://jicheng.tw/tcm/book/%e5%82%b7%e7%a7%91%e8%a3%9c%e8%a6%81/index.html")</f>
        <v>https://jicheng.tw/tcm/book/%e5%82%b7%e7%a7%91%e8%a3%9c%e8%a6%81/index.html</v>
      </c>
    </row>
    <row r="887" spans="1:10">
      <c r="A887" s="10" t="s">
        <v>887</v>
      </c>
      <c r="B887" s="10"/>
      <c r="C887" s="10"/>
      <c r="D887" t="s">
        <v>901</v>
      </c>
      <c r="E887" t="s">
        <v>901</v>
      </c>
      <c r="H887" s="14">
        <v>1851</v>
      </c>
      <c r="J887" t="str">
        <f>HYPERLINK("https://jicheng.tw/tcm/book/%e6%95%91%e5%82%b7%e7%a7%98%e6%97%a8/index.html")</f>
        <v>https://jicheng.tw/tcm/book/%e6%95%91%e5%82%b7%e7%a7%98%e6%97%a8/index.html</v>
      </c>
    </row>
    <row r="888" spans="1:10">
      <c r="A888" s="10" t="s">
        <v>887</v>
      </c>
      <c r="B888" s="10"/>
      <c r="C888" s="10"/>
      <c r="D888" t="s">
        <v>1955</v>
      </c>
      <c r="E888" t="s">
        <v>902</v>
      </c>
      <c r="F888" t="s">
        <v>2982</v>
      </c>
      <c r="G888" s="14" t="s">
        <v>2498</v>
      </c>
      <c r="H888" s="14">
        <v>1742</v>
      </c>
      <c r="J888" t="str">
        <f>HYPERLINK("https://jicheng.tw/tcm/book/%e9%86%ab%e5%ae%97%e9%87%91%e9%91%91/%e6%ad%a3%e9%aa%a8%e5%bf%83%e6%b3%95%e8%a6%81%e6%97%a8/index.html")</f>
        <v>https://jicheng.tw/tcm/book/%e9%86%ab%e5%ae%97%e9%87%91%e9%91%91/%e6%ad%a3%e9%aa%a8%e5%bf%83%e6%b3%95%e8%a6%81%e6%97%a8/index.html</v>
      </c>
    </row>
    <row r="889" spans="1:10">
      <c r="A889" s="10" t="s">
        <v>887</v>
      </c>
      <c r="B889" s="10"/>
      <c r="C889" s="10"/>
      <c r="D889" t="s">
        <v>903</v>
      </c>
      <c r="E889" t="s">
        <v>903</v>
      </c>
      <c r="F889" t="s">
        <v>3121</v>
      </c>
      <c r="G889" s="14" t="s">
        <v>2498</v>
      </c>
      <c r="H889" s="14">
        <v>1859</v>
      </c>
      <c r="J889" t="str">
        <f>HYPERLINK("https://jicheng.tw/tcm/book/%e8%b7%8c%e6%89%93%e6%90%8d%e5%82%b7%e5%9b%9e%e7%94%9f%e9%9b%86/index.html")</f>
        <v>https://jicheng.tw/tcm/book/%e8%b7%8c%e6%89%93%e6%90%8d%e5%82%b7%e5%9b%9e%e7%94%9f%e9%9b%86/index.html</v>
      </c>
    </row>
    <row r="890" spans="1:10">
      <c r="A890" s="10" t="s">
        <v>887</v>
      </c>
      <c r="B890" s="10"/>
      <c r="C890" s="10"/>
      <c r="D890" t="s">
        <v>904</v>
      </c>
      <c r="E890" t="s">
        <v>904</v>
      </c>
      <c r="F890" t="s">
        <v>3122</v>
      </c>
      <c r="G890" s="14" t="s">
        <v>2498</v>
      </c>
      <c r="H890" s="14">
        <v>1840</v>
      </c>
      <c r="J890" t="str">
        <f>HYPERLINK("https://jicheng.tw/tcm/book/%e5%82%b7%e7%a7%91%e6%96%b9%e6%9b%b8/index.html")</f>
        <v>https://jicheng.tw/tcm/book/%e5%82%b7%e7%a7%91%e6%96%b9%e6%9b%b8/index.html</v>
      </c>
    </row>
    <row r="891" spans="1:10">
      <c r="A891" s="10" t="s">
        <v>887</v>
      </c>
      <c r="B891" s="10"/>
      <c r="C891" s="10"/>
      <c r="D891" t="s">
        <v>1956</v>
      </c>
      <c r="E891" t="s">
        <v>905</v>
      </c>
      <c r="F891" t="s">
        <v>2983</v>
      </c>
      <c r="G891" s="14" t="s">
        <v>2495</v>
      </c>
      <c r="H891" s="14">
        <v>1529</v>
      </c>
      <c r="J891" t="str">
        <f>HYPERLINK("https://jicheng.tw/tcm/book/%e6%ad%a3%e9%ab%94%e9%a1%9e%e8%a6%81/index.html")</f>
        <v>https://jicheng.tw/tcm/book/%e6%ad%a3%e9%ab%94%e9%a1%9e%e8%a6%81/index.html</v>
      </c>
    </row>
    <row r="892" spans="1:10">
      <c r="A892" s="10" t="s">
        <v>887</v>
      </c>
      <c r="B892" s="10"/>
      <c r="C892" s="10"/>
      <c r="D892" t="s">
        <v>1957</v>
      </c>
      <c r="E892" t="s">
        <v>906</v>
      </c>
      <c r="F892" t="s">
        <v>3123</v>
      </c>
      <c r="G892" s="14" t="s">
        <v>2498</v>
      </c>
      <c r="H892" s="14">
        <v>1808</v>
      </c>
      <c r="J892" t="str">
        <f>HYPERLINK("https://jicheng.tw/tcm/book/%e4%b8%ad%e5%9c%8b%e6%8e%a5%e9%aa%a8%e5%9c%96%e8%aa%aa/index.html")</f>
        <v>https://jicheng.tw/tcm/book/%e4%b8%ad%e5%9c%8b%e6%8e%a5%e9%aa%a8%e5%9c%96%e8%aa%aa/index.html</v>
      </c>
    </row>
    <row r="893" spans="1:10">
      <c r="A893" s="10" t="s">
        <v>907</v>
      </c>
      <c r="B893" s="10" t="s">
        <v>908</v>
      </c>
      <c r="C893" s="10"/>
      <c r="D893" t="s">
        <v>1958</v>
      </c>
      <c r="E893" t="s">
        <v>909</v>
      </c>
      <c r="F893" t="s">
        <v>3124</v>
      </c>
      <c r="G893" s="14" t="s">
        <v>2501</v>
      </c>
      <c r="H893" s="14">
        <v>1370</v>
      </c>
      <c r="J893" t="str">
        <f>HYPERLINK("https://jicheng.tw/tcm/book/%e5%8e%9f%e6%a9%9f%e5%95%9f%e5%be%ae/index.html")</f>
        <v>https://jicheng.tw/tcm/book/%e5%8e%9f%e6%a9%9f%e5%95%9f%e5%be%ae/index.html</v>
      </c>
    </row>
    <row r="894" spans="1:10">
      <c r="A894" s="10" t="s">
        <v>907</v>
      </c>
      <c r="B894" s="10" t="s">
        <v>908</v>
      </c>
      <c r="C894" s="10"/>
      <c r="D894" t="s">
        <v>1959</v>
      </c>
      <c r="E894" t="s">
        <v>910</v>
      </c>
      <c r="F894" t="s">
        <v>3125</v>
      </c>
      <c r="G894" s="14" t="s">
        <v>2495</v>
      </c>
      <c r="H894" s="14">
        <v>1593</v>
      </c>
      <c r="J894" t="str">
        <f>HYPERLINK("https://jicheng.tw/tcm/book/%e6%98%8e%e7%9b%ae%e8%87%b3%e5%af%b6/index.html")</f>
        <v>https://jicheng.tw/tcm/book/%e6%98%8e%e7%9b%ae%e8%87%b3%e5%af%b6/index.html</v>
      </c>
    </row>
    <row r="895" spans="1:10">
      <c r="A895" s="10" t="s">
        <v>907</v>
      </c>
      <c r="B895" s="10" t="s">
        <v>908</v>
      </c>
      <c r="C895" s="10"/>
      <c r="D895" t="s">
        <v>1960</v>
      </c>
      <c r="E895" t="s">
        <v>911</v>
      </c>
      <c r="F895" t="s">
        <v>3126</v>
      </c>
      <c r="G895" s="14" t="s">
        <v>2495</v>
      </c>
      <c r="J895" t="str">
        <f>HYPERLINK("https://jicheng.tw/tcm/book/%e7%a7%98%e5%82%b3%e7%9c%bc%e7%a7%91%e9%be%8d%e6%9c%a8%e8%ab%96/index.html")</f>
        <v>https://jicheng.tw/tcm/book/%e7%a7%98%e5%82%b3%e7%9c%bc%e7%a7%91%e9%be%8d%e6%9c%a8%e8%ab%96/index.html</v>
      </c>
    </row>
    <row r="896" spans="1:10">
      <c r="A896" s="10" t="s">
        <v>907</v>
      </c>
      <c r="B896" s="10" t="s">
        <v>908</v>
      </c>
      <c r="C896" s="10"/>
      <c r="D896" t="s">
        <v>912</v>
      </c>
      <c r="E896" t="s">
        <v>912</v>
      </c>
      <c r="J896" t="str">
        <f>HYPERLINK("https://jicheng.tw/tcm/book/%e7%9c%bc%e7%a7%91%e7%a7%98%e8%a8%a3/index.html")</f>
        <v>https://jicheng.tw/tcm/book/%e7%9c%bc%e7%a7%91%e7%a7%98%e8%a8%a3/index.html</v>
      </c>
    </row>
    <row r="897" spans="1:10">
      <c r="A897" s="10" t="s">
        <v>907</v>
      </c>
      <c r="B897" s="10" t="s">
        <v>908</v>
      </c>
      <c r="C897" s="10"/>
      <c r="D897" t="s">
        <v>913</v>
      </c>
      <c r="E897" t="s">
        <v>913</v>
      </c>
      <c r="F897" t="s">
        <v>3127</v>
      </c>
      <c r="J897" t="str">
        <f>HYPERLINK("https://jicheng.tw/tcm/book/%e7%9c%bc%e7%a7%91%e9%8c%a6%e5%9b%8a/index.html")</f>
        <v>https://jicheng.tw/tcm/book/%e7%9c%bc%e7%a7%91%e9%8c%a6%e5%9b%8a/index.html</v>
      </c>
    </row>
    <row r="898" spans="1:10">
      <c r="A898" s="10" t="s">
        <v>907</v>
      </c>
      <c r="B898" s="10" t="s">
        <v>908</v>
      </c>
      <c r="C898" s="10"/>
      <c r="D898" t="s">
        <v>1961</v>
      </c>
      <c r="E898" t="s">
        <v>914</v>
      </c>
      <c r="F898" t="s">
        <v>3128</v>
      </c>
      <c r="G898" s="14" t="s">
        <v>2498</v>
      </c>
      <c r="H898" s="14">
        <v>1741</v>
      </c>
      <c r="J898" t="str">
        <f>HYPERLINK("https://jicheng.tw/tcm/book/%e7%9b%ae%e7%b6%93%e5%a4%a7%e6%88%90/index.html")</f>
        <v>https://jicheng.tw/tcm/book/%e7%9b%ae%e7%b6%93%e5%a4%a7%e6%88%90/index.html</v>
      </c>
    </row>
    <row r="899" spans="1:10">
      <c r="A899" s="10" t="s">
        <v>907</v>
      </c>
      <c r="B899" s="10" t="s">
        <v>908</v>
      </c>
      <c r="C899" s="10"/>
      <c r="D899" t="s">
        <v>1962</v>
      </c>
      <c r="E899" t="s">
        <v>915</v>
      </c>
      <c r="F899" t="s">
        <v>2982</v>
      </c>
      <c r="G899" s="14" t="s">
        <v>2498</v>
      </c>
      <c r="H899" s="14">
        <v>1742</v>
      </c>
      <c r="J899" t="str">
        <f>HYPERLINK("https://jicheng.tw/tcm/book/%e9%86%ab%e5%ae%97%e9%87%91%e9%91%91/%e7%9c%bc%e7%a7%91%e5%bf%83%e6%b3%95%e8%a6%81%e8%a8%a3/index.html")</f>
        <v>https://jicheng.tw/tcm/book/%e9%86%ab%e5%ae%97%e9%87%91%e9%91%91/%e7%9c%bc%e7%a7%91%e5%bf%83%e6%b3%95%e8%a6%81%e8%a8%a3/index.html</v>
      </c>
    </row>
    <row r="900" spans="1:10">
      <c r="A900" s="10" t="s">
        <v>907</v>
      </c>
      <c r="B900" s="10" t="s">
        <v>908</v>
      </c>
      <c r="C900" s="10"/>
      <c r="D900" t="s">
        <v>916</v>
      </c>
      <c r="E900" t="s">
        <v>916</v>
      </c>
      <c r="H900" s="14">
        <v>1700</v>
      </c>
      <c r="J900" t="str">
        <f>HYPERLINK("https://jicheng.tw/tcm/book/%e7%9c%bc%e7%a7%91%e9%97%a1%e5%be%ae/index.html")</f>
        <v>https://jicheng.tw/tcm/book/%e7%9c%bc%e7%a7%91%e9%97%a1%e5%be%ae/index.html</v>
      </c>
    </row>
    <row r="901" spans="1:10">
      <c r="A901" s="10" t="s">
        <v>907</v>
      </c>
      <c r="B901" s="10" t="s">
        <v>908</v>
      </c>
      <c r="C901" s="10"/>
      <c r="D901" t="s">
        <v>917</v>
      </c>
      <c r="E901" t="s">
        <v>917</v>
      </c>
      <c r="F901" t="s">
        <v>3129</v>
      </c>
      <c r="G901" s="14" t="s">
        <v>2495</v>
      </c>
      <c r="H901" s="14">
        <v>1643</v>
      </c>
      <c r="J901" t="str">
        <f>HYPERLINK("https://jicheng.tw/tcm/book/%e4%b8%80%e8%8d%89%e4%ba%ad%e7%9b%ae%e7%a7%91%e5%85%a8%e6%9b%b8/index.html")</f>
        <v>https://jicheng.tw/tcm/book/%e4%b8%80%e8%8d%89%e4%ba%ad%e7%9b%ae%e7%a7%91%e5%85%a8%e6%9b%b8/index.html</v>
      </c>
    </row>
    <row r="902" spans="1:10">
      <c r="A902" s="10" t="s">
        <v>907</v>
      </c>
      <c r="B902" s="10" t="s">
        <v>908</v>
      </c>
      <c r="C902" s="10"/>
      <c r="D902" t="s">
        <v>918</v>
      </c>
      <c r="E902" t="s">
        <v>918</v>
      </c>
      <c r="F902" t="s">
        <v>3130</v>
      </c>
      <c r="G902" s="14" t="s">
        <v>2495</v>
      </c>
      <c r="H902" s="14">
        <v>1644</v>
      </c>
      <c r="J902" t="str">
        <f>HYPERLINK("https://jicheng.tw/tcm/book/%e5%af%a9%e8%a6%96%e7%91%a4%e5%87%bd/index.html")</f>
        <v>https://jicheng.tw/tcm/book/%e5%af%a9%e8%a6%96%e7%91%a4%e5%87%bd/index.html</v>
      </c>
    </row>
    <row r="903" spans="1:10">
      <c r="A903" s="10" t="s">
        <v>907</v>
      </c>
      <c r="B903" s="10" t="s">
        <v>908</v>
      </c>
      <c r="C903" s="10"/>
      <c r="D903" t="s">
        <v>919</v>
      </c>
      <c r="E903" t="s">
        <v>919</v>
      </c>
      <c r="F903" t="s">
        <v>3130</v>
      </c>
      <c r="G903" s="14" t="s">
        <v>2495</v>
      </c>
      <c r="J903" t="str">
        <f>HYPERLINK("https://jicheng.tw/tcm/book/%e5%af%a9%e8%a6%96%e7%91%a4%e5%87%bd%5f%31/index.html")</f>
        <v>https://jicheng.tw/tcm/book/%e5%af%a9%e8%a6%96%e7%91%a4%e5%87%bd%5f%31/index.html</v>
      </c>
    </row>
    <row r="904" spans="1:10">
      <c r="A904" s="10" t="s">
        <v>907</v>
      </c>
      <c r="B904" s="10" t="s">
        <v>908</v>
      </c>
      <c r="C904" s="10"/>
      <c r="D904" t="s">
        <v>920</v>
      </c>
      <c r="E904" t="s">
        <v>920</v>
      </c>
      <c r="F904" t="s">
        <v>3003</v>
      </c>
      <c r="G904" s="14" t="s">
        <v>2999</v>
      </c>
      <c r="H904" s="14">
        <v>682</v>
      </c>
      <c r="J904" t="str">
        <f>HYPERLINK("https://jicheng.tw/tcm/book/%e9%8a%80%e6%b5%b7%e7%b2%be%e5%be%ae/index.html")</f>
        <v>https://jicheng.tw/tcm/book/%e9%8a%80%e6%b5%b7%e7%b2%be%e5%be%ae/index.html</v>
      </c>
    </row>
    <row r="905" spans="1:10">
      <c r="A905" s="10" t="s">
        <v>907</v>
      </c>
      <c r="B905" s="10" t="s">
        <v>908</v>
      </c>
      <c r="C905" s="10"/>
      <c r="D905" t="s">
        <v>921</v>
      </c>
      <c r="E905" t="s">
        <v>921</v>
      </c>
      <c r="F905" t="s">
        <v>3131</v>
      </c>
      <c r="G905" s="14" t="s">
        <v>2498</v>
      </c>
      <c r="H905" s="14">
        <v>1809</v>
      </c>
      <c r="J905" t="str">
        <f>HYPERLINK("https://jicheng.tw/tcm/book/%e9%8a%80%e6%b5%b7%e6%8c%87%e5%8d%97/index.html")</f>
        <v>https://jicheng.tw/tcm/book/%e9%8a%80%e6%b5%b7%e6%8c%87%e5%8d%97/index.html</v>
      </c>
    </row>
    <row r="906" spans="1:10">
      <c r="A906" s="10" t="s">
        <v>907</v>
      </c>
      <c r="B906" s="10" t="s">
        <v>908</v>
      </c>
      <c r="C906" s="10"/>
      <c r="D906" t="s">
        <v>922</v>
      </c>
      <c r="E906" t="s">
        <v>922</v>
      </c>
      <c r="H906" s="14">
        <v>1643</v>
      </c>
      <c r="J906" t="str">
        <f>HYPERLINK("https://jicheng.tw/tcm/book/%e7%95%b0%e6%8e%88%e7%9c%bc%e7%a7%91/index.html")</f>
        <v>https://jicheng.tw/tcm/book/%e7%95%b0%e6%8e%88%e7%9c%bc%e7%a7%91/index.html</v>
      </c>
    </row>
    <row r="907" spans="1:10">
      <c r="A907" s="10" t="s">
        <v>907</v>
      </c>
      <c r="B907" s="10" t="s">
        <v>908</v>
      </c>
      <c r="C907" s="10"/>
      <c r="D907" t="s">
        <v>1963</v>
      </c>
      <c r="E907" t="s">
        <v>923</v>
      </c>
      <c r="F907" t="s">
        <v>2998</v>
      </c>
      <c r="G907" s="14" t="s">
        <v>2498</v>
      </c>
      <c r="H907" s="14">
        <v>1804</v>
      </c>
      <c r="J907" t="str">
        <f>HYPERLINK("https://jicheng.tw/tcm/book/%e9%87%91%e5%8c%b1%e5%95%9f%e9%91%b0/%e7%9c%bc%e7%a7%91/index.html")</f>
        <v>https://jicheng.tw/tcm/book/%e9%87%91%e5%8c%b1%e5%95%9f%e9%91%b0/%e7%9c%bc%e7%a7%91/index.html</v>
      </c>
    </row>
    <row r="908" spans="1:10">
      <c r="A908" s="10" t="s">
        <v>907</v>
      </c>
      <c r="B908" s="10" t="s">
        <v>908</v>
      </c>
      <c r="C908" s="10"/>
      <c r="D908" t="s">
        <v>924</v>
      </c>
      <c r="E908" t="s">
        <v>924</v>
      </c>
      <c r="G908" s="14" t="s">
        <v>2495</v>
      </c>
      <c r="H908" s="14">
        <v>1600</v>
      </c>
      <c r="J908" t="str">
        <f>HYPERLINK("https://jicheng.tw/tcm/book/%e6%98%8e%e7%9b%ae%e8%89%af%e6%96%b9/index.html")</f>
        <v>https://jicheng.tw/tcm/book/%e6%98%8e%e7%9b%ae%e8%89%af%e6%96%b9/index.html</v>
      </c>
    </row>
    <row r="909" spans="1:10">
      <c r="A909" s="10" t="s">
        <v>907</v>
      </c>
      <c r="B909" s="10" t="s">
        <v>908</v>
      </c>
      <c r="C909" s="10"/>
      <c r="D909" t="s">
        <v>925</v>
      </c>
      <c r="E909" t="s">
        <v>925</v>
      </c>
      <c r="G909" s="14" t="s">
        <v>2495</v>
      </c>
      <c r="H909" s="14">
        <v>1600</v>
      </c>
      <c r="J909" t="str">
        <f>HYPERLINK("https://jicheng.tw/tcm/book/%e6%96%b0%e5%88%8a%e6%98%8e%e7%9b%ae%e8%89%af%e6%96%b9/index.html")</f>
        <v>https://jicheng.tw/tcm/book/%e6%96%b0%e5%88%8a%e6%98%8e%e7%9b%ae%e8%89%af%e6%96%b9/index.html</v>
      </c>
    </row>
    <row r="910" spans="1:10">
      <c r="A910" s="10" t="s">
        <v>907</v>
      </c>
      <c r="B910" s="10" t="s">
        <v>926</v>
      </c>
      <c r="C910" s="10"/>
      <c r="D910" t="s">
        <v>1964</v>
      </c>
      <c r="E910" t="s">
        <v>927</v>
      </c>
      <c r="F910" t="s">
        <v>3132</v>
      </c>
      <c r="G910" s="14" t="s">
        <v>2498</v>
      </c>
      <c r="H910" s="14">
        <v>1838</v>
      </c>
      <c r="J910" t="str">
        <f>HYPERLINK("https://jicheng.tw/tcm/book/%e9%87%8d%e6%a8%93%e7%8e%89%e9%91%b0/index.html")</f>
        <v>https://jicheng.tw/tcm/book/%e9%87%8d%e6%a8%93%e7%8e%89%e9%91%b0/index.html</v>
      </c>
    </row>
    <row r="911" spans="1:10">
      <c r="A911" s="10" t="s">
        <v>907</v>
      </c>
      <c r="B911" s="10" t="s">
        <v>926</v>
      </c>
      <c r="C911" s="10"/>
      <c r="D911" t="s">
        <v>1965</v>
      </c>
      <c r="E911" t="s">
        <v>928</v>
      </c>
      <c r="F911" t="s">
        <v>3133</v>
      </c>
      <c r="G911" s="14" t="s">
        <v>2498</v>
      </c>
      <c r="H911" s="14">
        <v>1838</v>
      </c>
      <c r="J911" t="str">
        <f>HYPERLINK("https://jicheng.tw/tcm/book/%e9%87%8d%e6%a8%93%e7%8e%89%e9%91%b0%e7%ba%8c%e7%b7%a8/index.html")</f>
        <v>https://jicheng.tw/tcm/book/%e9%87%8d%e6%a8%93%e7%8e%89%e9%91%b0%e7%ba%8c%e7%b7%a8/index.html</v>
      </c>
    </row>
    <row r="912" spans="1:10">
      <c r="A912" s="10" t="s">
        <v>907</v>
      </c>
      <c r="B912" s="10" t="s">
        <v>926</v>
      </c>
      <c r="C912" s="10"/>
      <c r="D912" t="s">
        <v>929</v>
      </c>
      <c r="E912" t="s">
        <v>929</v>
      </c>
      <c r="F912" t="s">
        <v>3134</v>
      </c>
      <c r="G912" s="14" t="s">
        <v>2498</v>
      </c>
      <c r="H912" s="14">
        <v>1870</v>
      </c>
      <c r="J912" t="str">
        <f>HYPERLINK("https://jicheng.tw/tcm/book/%e5%96%89%e7%a7%91%e7%a7%98%e8%a8%a3/index.html")</f>
        <v>https://jicheng.tw/tcm/book/%e5%96%89%e7%a7%91%e7%a7%98%e8%a8%a3/index.html</v>
      </c>
    </row>
    <row r="913" spans="1:10">
      <c r="A913" s="10" t="s">
        <v>907</v>
      </c>
      <c r="B913" s="10" t="s">
        <v>926</v>
      </c>
      <c r="C913" s="10"/>
      <c r="D913" t="s">
        <v>1966</v>
      </c>
      <c r="E913" t="s">
        <v>930</v>
      </c>
      <c r="F913" t="s">
        <v>3135</v>
      </c>
      <c r="G913" s="14" t="s">
        <v>2498</v>
      </c>
      <c r="H913" s="14">
        <v>1897</v>
      </c>
      <c r="J913" t="str">
        <f>HYPERLINK("https://jicheng.tw/tcm/book/%e7%99%bd%e5%96%89%e6%a2%9d%e8%be%a8/index.html")</f>
        <v>https://jicheng.tw/tcm/book/%e7%99%bd%e5%96%89%e6%a2%9d%e8%be%a8/index.html</v>
      </c>
    </row>
    <row r="914" spans="1:10">
      <c r="A914" s="10" t="s">
        <v>907</v>
      </c>
      <c r="B914" s="10" t="s">
        <v>926</v>
      </c>
      <c r="C914" s="10"/>
      <c r="D914" t="s">
        <v>931</v>
      </c>
      <c r="E914" t="s">
        <v>931</v>
      </c>
      <c r="F914" t="s">
        <v>3136</v>
      </c>
      <c r="G914" s="14" t="s">
        <v>2495</v>
      </c>
      <c r="H914" s="14">
        <v>1667</v>
      </c>
      <c r="J914" t="str">
        <f>HYPERLINK("https://jicheng.tw/tcm/book/%e5%b0%a4%e6%b0%8f%e5%96%89%e7%97%87%e6%8c%87%e5%8d%97/index.html")</f>
        <v>https://jicheng.tw/tcm/book/%e5%b0%a4%e6%b0%8f%e5%96%89%e7%97%87%e6%8c%87%e5%8d%97/index.html</v>
      </c>
    </row>
    <row r="915" spans="1:10">
      <c r="A915" s="10" t="s">
        <v>907</v>
      </c>
      <c r="B915" s="10" t="s">
        <v>926</v>
      </c>
      <c r="C915" s="10"/>
      <c r="D915" t="s">
        <v>932</v>
      </c>
      <c r="E915" t="s">
        <v>932</v>
      </c>
      <c r="F915" t="s">
        <v>3137</v>
      </c>
      <c r="G915" s="14" t="s">
        <v>2498</v>
      </c>
      <c r="H915" s="14">
        <v>1667</v>
      </c>
      <c r="J915" t="str">
        <f>HYPERLINK("https://jicheng.tw/tcm/book/%e5%b0%a4%e6%b0%8f%e5%96%89%e7%a7%91%e7%a7%98%e6%9b%b8/index.html")</f>
        <v>https://jicheng.tw/tcm/book/%e5%b0%a4%e6%b0%8f%e5%96%89%e7%a7%91%e7%a7%98%e6%9b%b8/index.html</v>
      </c>
    </row>
    <row r="916" spans="1:10">
      <c r="A916" s="10" t="s">
        <v>907</v>
      </c>
      <c r="B916" s="10" t="s">
        <v>926</v>
      </c>
      <c r="C916" s="10"/>
      <c r="D916" t="s">
        <v>933</v>
      </c>
      <c r="E916" t="s">
        <v>933</v>
      </c>
      <c r="J916" t="str">
        <f>HYPERLINK("https://jicheng.tw/tcm/book/%e7%84%a6%e6%b0%8f%e5%96%89%e7%a7%91%e6%9e%95%e7%a7%98/index.html")</f>
        <v>https://jicheng.tw/tcm/book/%e7%84%a6%e6%b0%8f%e5%96%89%e7%a7%91%e6%9e%95%e7%a7%98/index.html</v>
      </c>
    </row>
    <row r="917" spans="1:10">
      <c r="A917" s="10" t="s">
        <v>907</v>
      </c>
      <c r="B917" s="10" t="s">
        <v>926</v>
      </c>
      <c r="C917" s="10"/>
      <c r="D917" t="s">
        <v>934</v>
      </c>
      <c r="E917" t="s">
        <v>934</v>
      </c>
      <c r="F917" t="s">
        <v>3138</v>
      </c>
      <c r="G917" s="14" t="s">
        <v>2498</v>
      </c>
      <c r="H917" s="14">
        <v>1757</v>
      </c>
      <c r="J917" t="str">
        <f>HYPERLINK("https://jicheng.tw/tcm/book/%e5%96%89%e7%a7%91%e6%8c%87%e6%8e%8c/index.html")</f>
        <v>https://jicheng.tw/tcm/book/%e5%96%89%e7%a7%91%e6%8c%87%e6%8e%8c/index.html</v>
      </c>
    </row>
    <row r="918" spans="1:10">
      <c r="A918" s="10" t="s">
        <v>907</v>
      </c>
      <c r="B918" s="10" t="s">
        <v>926</v>
      </c>
      <c r="C918" s="10"/>
      <c r="D918" t="s">
        <v>1967</v>
      </c>
      <c r="E918" t="s">
        <v>935</v>
      </c>
      <c r="F918" t="s">
        <v>3139</v>
      </c>
      <c r="G918" s="14" t="s">
        <v>2498</v>
      </c>
      <c r="H918" s="14">
        <v>1910</v>
      </c>
      <c r="J918" t="str">
        <f>HYPERLINK("https://jicheng.tw/tcm/book/%e5%8c%85%e6%b0%8f%e5%96%89%e8%ad%89%e5%ae%b6%e5%af%b6/index.html")</f>
        <v>https://jicheng.tw/tcm/book/%e5%8c%85%e6%b0%8f%e5%96%89%e8%ad%89%e5%ae%b6%e5%af%b6/index.html</v>
      </c>
    </row>
    <row r="919" spans="1:10">
      <c r="A919" s="10" t="s">
        <v>907</v>
      </c>
      <c r="B919" s="10" t="s">
        <v>926</v>
      </c>
      <c r="C919" s="10"/>
      <c r="D919" t="s">
        <v>936</v>
      </c>
      <c r="E919" t="s">
        <v>936</v>
      </c>
      <c r="F919" t="s">
        <v>3140</v>
      </c>
      <c r="G919" s="14" t="s">
        <v>2498</v>
      </c>
      <c r="H919" s="14">
        <v>1850</v>
      </c>
      <c r="J919" t="str">
        <f>HYPERLINK("https://jicheng.tw/tcm/book/%e5%92%bd%e5%96%89%e7%a7%98%e9%9b%86/index.html")</f>
        <v>https://jicheng.tw/tcm/book/%e5%92%bd%e5%96%89%e7%a7%98%e9%9b%86/index.html</v>
      </c>
    </row>
    <row r="920" spans="1:10">
      <c r="A920" s="10" t="s">
        <v>907</v>
      </c>
      <c r="B920" s="10" t="s">
        <v>926</v>
      </c>
      <c r="C920" s="10"/>
      <c r="D920" t="s">
        <v>937</v>
      </c>
      <c r="E920" t="s">
        <v>937</v>
      </c>
      <c r="F920" t="s">
        <v>3141</v>
      </c>
      <c r="G920" s="14" t="s">
        <v>2498</v>
      </c>
      <c r="H920" s="14">
        <v>1882</v>
      </c>
      <c r="J920" t="str">
        <f>HYPERLINK("https://jicheng.tw/tcm/book/%e7%99%bd%e5%96%89%e5%85%a8%e7%94%9f%e9%9b%86/index.html")</f>
        <v>https://jicheng.tw/tcm/book/%e7%99%bd%e5%96%89%e5%85%a8%e7%94%9f%e9%9b%86/index.html</v>
      </c>
    </row>
    <row r="921" spans="1:10">
      <c r="A921" s="10" t="s">
        <v>907</v>
      </c>
      <c r="B921" s="10" t="s">
        <v>926</v>
      </c>
      <c r="C921" s="10"/>
      <c r="D921" t="s">
        <v>938</v>
      </c>
      <c r="E921" t="s">
        <v>938</v>
      </c>
      <c r="F921" t="s">
        <v>3142</v>
      </c>
      <c r="G921" s="14" t="s">
        <v>2498</v>
      </c>
      <c r="H921" s="14">
        <v>1890</v>
      </c>
      <c r="J921" t="str">
        <f>HYPERLINK("https://jicheng.tw/tcm/book/%e5%96%89%e7%a7%91%e9%9b%86%e8%85%8b/index.html")</f>
        <v>https://jicheng.tw/tcm/book/%e5%96%89%e7%a7%91%e9%9b%86%e8%85%8b/index.html</v>
      </c>
    </row>
    <row r="922" spans="1:10">
      <c r="A922" s="10" t="s">
        <v>907</v>
      </c>
      <c r="B922" s="10" t="s">
        <v>926</v>
      </c>
      <c r="C922" s="10"/>
      <c r="D922" t="s">
        <v>1968</v>
      </c>
      <c r="E922" t="s">
        <v>939</v>
      </c>
      <c r="F922" t="s">
        <v>3145</v>
      </c>
      <c r="G922" s="14" t="s">
        <v>2498</v>
      </c>
      <c r="H922" s="14">
        <v>1825</v>
      </c>
      <c r="J922" t="str">
        <f>HYPERLINK("https://jicheng.tw/tcm/book/%e5%92%bd%e5%96%89%e8%84%88%e8%ad%89%e9%80%9a%e8%ab%96/index.html")</f>
        <v>https://jicheng.tw/tcm/book/%e5%92%bd%e5%96%89%e8%84%88%e8%ad%89%e9%80%9a%e8%ab%96/index.html</v>
      </c>
    </row>
    <row r="923" spans="1:10">
      <c r="A923" s="10" t="s">
        <v>907</v>
      </c>
      <c r="B923" s="10" t="s">
        <v>926</v>
      </c>
      <c r="C923" s="10"/>
      <c r="D923" t="s">
        <v>940</v>
      </c>
      <c r="E923" t="s">
        <v>940</v>
      </c>
      <c r="F923" t="s">
        <v>3146</v>
      </c>
      <c r="G923" s="14" t="s">
        <v>2498</v>
      </c>
      <c r="H923" s="14">
        <v>1902</v>
      </c>
      <c r="J923" t="str">
        <f>HYPERLINK("https://jicheng.tw/tcm/book/%e9%87%8d%e8%a8%82%e5%9b%8a%e7%a7%98%e5%96%89%e6%9b%b8/index.html")</f>
        <v>https://jicheng.tw/tcm/book/%e9%87%8d%e8%a8%82%e5%9b%8a%e7%a7%98%e5%96%89%e6%9b%b8/index.html</v>
      </c>
    </row>
    <row r="924" spans="1:10">
      <c r="A924" s="10" t="s">
        <v>907</v>
      </c>
      <c r="B924" s="10" t="s">
        <v>926</v>
      </c>
      <c r="C924" s="10"/>
      <c r="D924" t="s">
        <v>941</v>
      </c>
      <c r="E924" t="s">
        <v>941</v>
      </c>
      <c r="J924" t="str">
        <f>HYPERLINK("https://jicheng.tw/tcm/book/%e7%99%bd%e5%96%89%e6%8d%b7%e8%a6%81%e5%90%88%e7%b7%a8/index.html")</f>
        <v>https://jicheng.tw/tcm/book/%e7%99%bd%e5%96%89%e6%8d%b7%e8%a6%81%e5%90%88%e7%b7%a8/index.html</v>
      </c>
    </row>
    <row r="925" spans="1:10">
      <c r="A925" s="10" t="s">
        <v>907</v>
      </c>
      <c r="B925" s="10" t="s">
        <v>926</v>
      </c>
      <c r="C925" s="10"/>
      <c r="D925" t="s">
        <v>1969</v>
      </c>
      <c r="E925" t="s">
        <v>942</v>
      </c>
      <c r="F925" t="s">
        <v>3147</v>
      </c>
      <c r="G925" s="14" t="s">
        <v>2498</v>
      </c>
      <c r="H925" s="14">
        <v>1887</v>
      </c>
      <c r="J925" t="str">
        <f>HYPERLINK("https://jicheng.tw/tcm/book/%e7%99%bd%e5%96%89%e8%be%a8%e8%ad%89/index.html")</f>
        <v>https://jicheng.tw/tcm/book/%e7%99%bd%e5%96%89%e8%be%a8%e8%ad%89/index.html</v>
      </c>
    </row>
    <row r="926" spans="1:10">
      <c r="A926" s="10" t="s">
        <v>907</v>
      </c>
      <c r="B926" s="10" t="s">
        <v>926</v>
      </c>
      <c r="C926" s="10"/>
      <c r="D926" t="s">
        <v>943</v>
      </c>
      <c r="E926" t="s">
        <v>943</v>
      </c>
      <c r="F926" t="s">
        <v>3148</v>
      </c>
      <c r="G926" s="14" t="s">
        <v>2498</v>
      </c>
      <c r="H926" s="14">
        <v>1881</v>
      </c>
      <c r="J926" t="str">
        <f>HYPERLINK("https://jicheng.tw/tcm/book/%e5%96%89%e7%a7%91%e5%a4%a7%e6%88%90/index.html")</f>
        <v>https://jicheng.tw/tcm/book/%e5%96%89%e7%a7%91%e5%a4%a7%e6%88%90/index.html</v>
      </c>
    </row>
    <row r="927" spans="1:10">
      <c r="A927" s="10" t="s">
        <v>907</v>
      </c>
      <c r="B927" s="10" t="s">
        <v>926</v>
      </c>
      <c r="C927" s="10"/>
      <c r="D927" t="s">
        <v>944</v>
      </c>
      <c r="E927" t="s">
        <v>944</v>
      </c>
      <c r="F927" t="s">
        <v>3149</v>
      </c>
      <c r="G927" s="14" t="s">
        <v>2498</v>
      </c>
      <c r="H927" s="14">
        <v>1911</v>
      </c>
      <c r="J927" t="str">
        <f>HYPERLINK("https://jicheng.tw/tcm/book/%e5%96%89%e7%a7%91%e9%87%91%e9%91%b0%e5%85%a8%e6%9b%b8/index.html")</f>
        <v>https://jicheng.tw/tcm/book/%e5%96%89%e7%a7%91%e9%87%91%e9%91%b0%e5%85%a8%e6%9b%b8/index.html</v>
      </c>
    </row>
    <row r="928" spans="1:10">
      <c r="A928" s="10" t="s">
        <v>907</v>
      </c>
      <c r="B928" s="10" t="s">
        <v>926</v>
      </c>
      <c r="C928" s="10"/>
      <c r="D928" t="s">
        <v>945</v>
      </c>
      <c r="E928" t="s">
        <v>945</v>
      </c>
      <c r="J928" t="str">
        <f>HYPERLINK("https://jicheng.tw/tcm/book/%e9%9b%86%e5%96%89%e7%97%87%e8%ab%b8%e6%96%b9/index.html")</f>
        <v>https://jicheng.tw/tcm/book/%e9%9b%86%e5%96%89%e7%97%87%e8%ab%b8%e6%96%b9/index.html</v>
      </c>
    </row>
    <row r="929" spans="1:10">
      <c r="A929" s="10" t="s">
        <v>907</v>
      </c>
      <c r="B929" s="10" t="s">
        <v>926</v>
      </c>
      <c r="C929" s="10"/>
      <c r="D929" t="s">
        <v>946</v>
      </c>
      <c r="E929" t="s">
        <v>946</v>
      </c>
      <c r="F929" t="s">
        <v>3150</v>
      </c>
      <c r="G929" s="14" t="s">
        <v>2498</v>
      </c>
      <c r="H929" s="14">
        <v>1847</v>
      </c>
      <c r="J929" t="str">
        <f>HYPERLINK("https://jicheng.tw/tcm/book/%e5%96%89%e7%a7%91%e5%bf%83%e6%b3%95/index.html")</f>
        <v>https://jicheng.tw/tcm/book/%e5%96%89%e7%a7%91%e5%bf%83%e6%b3%95/index.html</v>
      </c>
    </row>
    <row r="930" spans="1:10">
      <c r="A930" s="10" t="s">
        <v>907</v>
      </c>
      <c r="B930" s="10" t="s">
        <v>926</v>
      </c>
      <c r="C930" s="10"/>
      <c r="D930" t="s">
        <v>1970</v>
      </c>
      <c r="E930" t="s">
        <v>947</v>
      </c>
      <c r="F930" t="s">
        <v>3073</v>
      </c>
      <c r="G930" s="14" t="s">
        <v>2498</v>
      </c>
      <c r="H930" s="14">
        <v>1911</v>
      </c>
      <c r="J930" t="str">
        <f>HYPERLINK("https://jicheng.tw/tcm/book/%e5%92%b3%e8%ab%96%e7%b6%93%e6%97%a8/index.html")</f>
        <v>https://jicheng.tw/tcm/book/%e5%92%b3%e8%ab%96%e7%b6%93%e6%97%a8/index.html</v>
      </c>
    </row>
    <row r="931" spans="1:10">
      <c r="A931" s="10" t="s">
        <v>907</v>
      </c>
      <c r="B931" s="10" t="s">
        <v>926</v>
      </c>
      <c r="C931" s="10"/>
      <c r="D931" t="s">
        <v>948</v>
      </c>
      <c r="E931" t="s">
        <v>948</v>
      </c>
      <c r="F931" t="s">
        <v>3151</v>
      </c>
      <c r="G931" s="14" t="s">
        <v>2498</v>
      </c>
      <c r="J931" t="str">
        <f>HYPERLINK("https://jicheng.tw/tcm/book/%e5%96%89%e7%a7%91%e5%ae%b6%e8%a8%93/index.html")</f>
        <v>https://jicheng.tw/tcm/book/%e5%96%89%e7%a7%91%e5%ae%b6%e8%a8%93/index.html</v>
      </c>
    </row>
    <row r="932" spans="1:10">
      <c r="A932" s="10" t="s">
        <v>907</v>
      </c>
      <c r="B932" s="10" t="s">
        <v>1971</v>
      </c>
      <c r="C932" s="10"/>
      <c r="D932" t="s">
        <v>1972</v>
      </c>
      <c r="E932" t="s">
        <v>949</v>
      </c>
      <c r="F932" t="s">
        <v>2549</v>
      </c>
      <c r="G932" s="14" t="s">
        <v>2495</v>
      </c>
      <c r="H932" s="14">
        <v>1528</v>
      </c>
      <c r="J932" t="str">
        <f>HYPERLINK("https://jicheng.tw/tcm/book/%e5%8f%a3%e9%bd%92%e9%a1%9e%e8%a6%81/index.html")</f>
        <v>https://jicheng.tw/tcm/book/%e5%8f%a3%e9%bd%92%e9%a1%9e%e8%a6%81/index.html</v>
      </c>
    </row>
    <row r="933" spans="1:10">
      <c r="A933" s="10" t="s">
        <v>907</v>
      </c>
      <c r="B933" s="10" t="s">
        <v>1971</v>
      </c>
      <c r="C933" s="10"/>
      <c r="D933" t="s">
        <v>950</v>
      </c>
      <c r="E933" t="s">
        <v>950</v>
      </c>
      <c r="J933" t="str">
        <f>HYPERLINK("https://jicheng.tw/tcm/book/%e8%b5%b0%e9%a6%ac%e6%80%a5%e7%96%b3%e7%9c%9f%e6%96%b9/index.html")</f>
        <v>https://jicheng.tw/tcm/book/%e8%b5%b0%e9%a6%ac%e6%80%a5%e7%96%b3%e7%9c%9f%e6%96%b9/index.html</v>
      </c>
    </row>
    <row r="934" spans="1:10">
      <c r="A934" s="10" t="s">
        <v>907</v>
      </c>
      <c r="B934" s="10" t="s">
        <v>1971</v>
      </c>
      <c r="C934" s="10"/>
      <c r="D934" t="s">
        <v>951</v>
      </c>
      <c r="E934" t="s">
        <v>951</v>
      </c>
      <c r="G934" s="14" t="s">
        <v>2498</v>
      </c>
      <c r="H934" s="14">
        <v>1863</v>
      </c>
      <c r="J934" t="str">
        <f>HYPERLINK("https://jicheng.tw/tcm/book/%e5%96%89%e8%88%8c%e5%82%99%e8%a6%81%e7%a7%98%e6%97%a8/index.html")</f>
        <v>https://jicheng.tw/tcm/book/%e5%96%89%e8%88%8c%e5%82%99%e8%a6%81%e7%a7%98%e6%97%a8/index.html</v>
      </c>
    </row>
    <row r="935" spans="1:10">
      <c r="A935" s="10" t="s">
        <v>907</v>
      </c>
      <c r="B935" s="10" t="s">
        <v>952</v>
      </c>
      <c r="C935" s="10"/>
      <c r="D935" t="s">
        <v>1973</v>
      </c>
      <c r="E935" t="s">
        <v>953</v>
      </c>
      <c r="F935" t="s">
        <v>3152</v>
      </c>
      <c r="J935" t="str">
        <f>HYPERLINK("https://jicheng.tw/tcm/book/%e7%a5%9d%e7%94%b1%e7%a7%91%e8%ab%b8%e7%ac%a6%e7%a5%95/index.html")</f>
        <v>https://jicheng.tw/tcm/book/%e7%a5%9d%e7%94%b1%e7%a7%91%e8%ab%b8%e7%ac%a6%e7%a5%95/index.html</v>
      </c>
    </row>
    <row r="936" spans="1:10">
      <c r="A936" s="10" t="s">
        <v>907</v>
      </c>
      <c r="B936" s="10" t="s">
        <v>952</v>
      </c>
      <c r="C936" s="10"/>
      <c r="D936" t="s">
        <v>952</v>
      </c>
      <c r="E936" t="s">
        <v>952</v>
      </c>
      <c r="J936" t="str">
        <f>HYPERLINK("https://jicheng.tw/tcm/book/%e7%a5%9d%e7%94%b1%e7%a7%91/index.html")</f>
        <v>https://jicheng.tw/tcm/book/%e7%a5%9d%e7%94%b1%e7%a7%91/index.html</v>
      </c>
    </row>
    <row r="937" spans="1:10">
      <c r="A937" s="10" t="s">
        <v>907</v>
      </c>
      <c r="B937" s="10" t="s">
        <v>952</v>
      </c>
      <c r="C937" s="10"/>
      <c r="D937" t="s">
        <v>1974</v>
      </c>
      <c r="E937" t="s">
        <v>954</v>
      </c>
      <c r="J937" t="str">
        <f>HYPERLINK("https://jicheng.tw/tcm/book/%e8%b3%87%e7%a6%8f%e7%ad%89%e9%bd%8a%e5%a4%a9%e9%86%ab%e5%8d%81%e4%b8%89%e7%a7%91%e6%b2%bb%e7%97%85%e4%b8%80%e5%ae%97/index.html")</f>
        <v>https://jicheng.tw/tcm/book/%e8%b3%87%e7%a6%8f%e7%ad%89%e9%bd%8a%e5%a4%a9%e9%86%ab%e5%8d%81%e4%b8%89%e7%a7%91%e6%b2%bb%e7%97%85%e4%b8%80%e5%ae%97/index.html</v>
      </c>
    </row>
    <row r="938" spans="1:10">
      <c r="A938" s="10" t="s">
        <v>955</v>
      </c>
      <c r="B938" s="10"/>
      <c r="C938" s="10"/>
      <c r="D938" t="s">
        <v>956</v>
      </c>
      <c r="E938" t="s">
        <v>956</v>
      </c>
      <c r="F938" t="s">
        <v>3153</v>
      </c>
      <c r="G938" s="14" t="s">
        <v>2496</v>
      </c>
      <c r="H938" s="14">
        <v>1085</v>
      </c>
      <c r="J938" t="str">
        <f>HYPERLINK("https://jicheng.tw/tcm/book/%e9%a4%8a%e8%80%81%e5%a5%89%e8%a6%aa%e6%9b%b8/index.html")</f>
        <v>https://jicheng.tw/tcm/book/%e9%a4%8a%e8%80%81%e5%a5%89%e8%a6%aa%e6%9b%b8/index.html</v>
      </c>
    </row>
    <row r="939" spans="1:10">
      <c r="A939" s="10" t="s">
        <v>955</v>
      </c>
      <c r="B939" s="10"/>
      <c r="C939" s="10"/>
      <c r="D939" t="s">
        <v>1975</v>
      </c>
      <c r="E939" t="s">
        <v>957</v>
      </c>
      <c r="F939" t="s">
        <v>3154</v>
      </c>
      <c r="G939" s="14" t="s">
        <v>2498</v>
      </c>
      <c r="H939" s="14">
        <v>1771</v>
      </c>
      <c r="J939" t="str">
        <f>HYPERLINK("https://jicheng.tw/tcm/book/%e5%a3%bd%e4%b8%96%e5%82%b3%e7%9c%9f/index.html")</f>
        <v>https://jicheng.tw/tcm/book/%e5%a3%bd%e4%b8%96%e5%82%b3%e7%9c%9f/index.html</v>
      </c>
    </row>
    <row r="940" spans="1:10">
      <c r="A940" s="10" t="s">
        <v>955</v>
      </c>
      <c r="B940" s="10"/>
      <c r="C940" s="10"/>
      <c r="D940" t="s">
        <v>1976</v>
      </c>
      <c r="E940" t="s">
        <v>958</v>
      </c>
      <c r="F940" t="s">
        <v>3155</v>
      </c>
      <c r="G940" s="14" t="s">
        <v>2498</v>
      </c>
      <c r="H940" s="14">
        <v>1847</v>
      </c>
      <c r="J940" t="str">
        <f>HYPERLINK("https://jicheng.tw/tcm/book/%e4%bf%ae%e5%b4%91%e5%b4%99%e8%ad%89%e9%a9%97/index.html")</f>
        <v>https://jicheng.tw/tcm/book/%e4%bf%ae%e5%b4%91%e5%b4%99%e8%ad%89%e9%a9%97/index.html</v>
      </c>
    </row>
    <row r="941" spans="1:10">
      <c r="A941" s="10" t="s">
        <v>955</v>
      </c>
      <c r="B941" s="10"/>
      <c r="C941" s="10"/>
      <c r="D941" t="s">
        <v>959</v>
      </c>
      <c r="E941" t="s">
        <v>959</v>
      </c>
      <c r="F941" t="s">
        <v>3156</v>
      </c>
      <c r="G941" s="14" t="s">
        <v>2495</v>
      </c>
      <c r="H941" s="14">
        <v>1564</v>
      </c>
      <c r="J941" t="str">
        <f>HYPERLINK("https://jicheng.tw/tcm/book/%e9%a4%8a%e7%94%9f%e9%a1%9e%e8%a6%81/index.html")</f>
        <v>https://jicheng.tw/tcm/book/%e9%a4%8a%e7%94%9f%e9%a1%9e%e8%a6%81/index.html</v>
      </c>
    </row>
    <row r="942" spans="1:10">
      <c r="A942" s="10" t="s">
        <v>955</v>
      </c>
      <c r="B942" s="10"/>
      <c r="C942" s="10"/>
      <c r="D942" t="s">
        <v>960</v>
      </c>
      <c r="E942" t="s">
        <v>960</v>
      </c>
      <c r="F942" t="s">
        <v>3157</v>
      </c>
      <c r="G942" s="14" t="s">
        <v>2498</v>
      </c>
      <c r="H942" s="14">
        <v>1893</v>
      </c>
      <c r="J942" t="str">
        <f>HYPERLINK("https://jicheng.tw/tcm/book/%e9%a4%8a%e7%94%9f%e7%a7%98%e6%97%a8/index.html")</f>
        <v>https://jicheng.tw/tcm/book/%e9%a4%8a%e7%94%9f%e7%a7%98%e6%97%a8/index.html</v>
      </c>
    </row>
    <row r="943" spans="1:10">
      <c r="A943" s="10" t="s">
        <v>955</v>
      </c>
      <c r="B943" s="10"/>
      <c r="C943" s="10"/>
      <c r="D943" t="s">
        <v>1977</v>
      </c>
      <c r="E943" t="s">
        <v>961</v>
      </c>
      <c r="F943" t="s">
        <v>3158</v>
      </c>
      <c r="G943" s="14" t="s">
        <v>2498</v>
      </c>
      <c r="H943" s="14">
        <v>1667</v>
      </c>
      <c r="J943" t="str">
        <f>HYPERLINK("https://jicheng.tw/tcm/book/%e5%a3%bd%e4%b8%96%e9%9d%92%e7%b7%a8/index.html")</f>
        <v>https://jicheng.tw/tcm/book/%e5%a3%bd%e4%b8%96%e9%9d%92%e7%b7%a8/index.html</v>
      </c>
    </row>
    <row r="944" spans="1:10">
      <c r="A944" s="10" t="s">
        <v>955</v>
      </c>
      <c r="B944" s="10"/>
      <c r="C944" s="10"/>
      <c r="D944" t="s">
        <v>962</v>
      </c>
      <c r="E944" t="s">
        <v>962</v>
      </c>
      <c r="F944" t="s">
        <v>3159</v>
      </c>
      <c r="G944" s="14" t="s">
        <v>2498</v>
      </c>
      <c r="H944" s="14">
        <v>1889</v>
      </c>
      <c r="J944" t="str">
        <f>HYPERLINK("https://jicheng.tw/tcm/book/%e6%80%a7%e5%91%bd%e8%a6%81%e6%97%a8/index.html")</f>
        <v>https://jicheng.tw/tcm/book/%e6%80%a7%e5%91%bd%e8%a6%81%e6%97%a8/index.html</v>
      </c>
    </row>
    <row r="945" spans="1:10">
      <c r="A945" s="10" t="s">
        <v>955</v>
      </c>
      <c r="B945" s="10"/>
      <c r="C945" s="10"/>
      <c r="D945" t="s">
        <v>963</v>
      </c>
      <c r="E945" t="s">
        <v>963</v>
      </c>
      <c r="F945" t="s">
        <v>3160</v>
      </c>
      <c r="G945" s="14" t="s">
        <v>2498</v>
      </c>
      <c r="J945" t="str">
        <f>HYPERLINK("https://jicheng.tw/tcm/book/%e5%a5%89%e6%99%82%e6%97%a8%e8%a6%81/index.html")</f>
        <v>https://jicheng.tw/tcm/book/%e5%a5%89%e6%99%82%e6%97%a8%e8%a6%81/index.html</v>
      </c>
    </row>
    <row r="946" spans="1:10">
      <c r="A946" s="10" t="s">
        <v>955</v>
      </c>
      <c r="B946" s="10"/>
      <c r="C946" s="10"/>
      <c r="D946" t="s">
        <v>964</v>
      </c>
      <c r="E946" t="s">
        <v>964</v>
      </c>
      <c r="F946" t="s">
        <v>3161</v>
      </c>
      <c r="G946" s="14" t="s">
        <v>2495</v>
      </c>
      <c r="H946" s="14">
        <v>1549</v>
      </c>
      <c r="J946" t="str">
        <f>HYPERLINK("https://jicheng.tw/tcm/book/%e5%8e%9a%e7%94%9f%e8%a8%93%e7%ba%82/index.html")</f>
        <v>https://jicheng.tw/tcm/book/%e5%8e%9a%e7%94%9f%e8%a8%93%e7%ba%82/index.html</v>
      </c>
    </row>
    <row r="947" spans="1:10">
      <c r="A947" s="10" t="s">
        <v>955</v>
      </c>
      <c r="B947" s="10"/>
      <c r="C947" s="10"/>
      <c r="D947" t="s">
        <v>965</v>
      </c>
      <c r="E947" t="s">
        <v>965</v>
      </c>
      <c r="F947" t="s">
        <v>3162</v>
      </c>
      <c r="G947" s="14" t="s">
        <v>2495</v>
      </c>
      <c r="H947" s="14">
        <v>1515</v>
      </c>
      <c r="J947" t="str">
        <f>HYPERLINK("https://jicheng.tw/tcm/book/%e9%8c%a6%e8%ba%ab%e6%a9%9f%e8%a6%81/index.html")</f>
        <v>https://jicheng.tw/tcm/book/%e9%8c%a6%e8%ba%ab%e6%a9%9f%e8%a6%81/index.html</v>
      </c>
    </row>
    <row r="948" spans="1:10">
      <c r="A948" s="10" t="s">
        <v>955</v>
      </c>
      <c r="B948" s="10"/>
      <c r="C948" s="10"/>
      <c r="D948" t="s">
        <v>966</v>
      </c>
      <c r="E948" t="s">
        <v>966</v>
      </c>
      <c r="F948" t="s">
        <v>2683</v>
      </c>
      <c r="G948" s="14" t="s">
        <v>2495</v>
      </c>
      <c r="H948" s="14">
        <v>1592</v>
      </c>
      <c r="J948" t="str">
        <f>HYPERLINK("https://jicheng.tw/tcm/book/%e9%a1%9e%e4%bf%ae%e8%a6%81%e8%a8%a3/index.html")</f>
        <v>https://jicheng.tw/tcm/book/%e9%a1%9e%e4%bf%ae%e8%a6%81%e8%a8%a3/index.html</v>
      </c>
    </row>
    <row r="949" spans="1:10">
      <c r="A949" s="10" t="s">
        <v>955</v>
      </c>
      <c r="B949" s="10"/>
      <c r="C949" s="10"/>
      <c r="D949" t="s">
        <v>1978</v>
      </c>
      <c r="E949" t="s">
        <v>967</v>
      </c>
      <c r="F949" t="s">
        <v>3163</v>
      </c>
      <c r="G949" s="14" t="s">
        <v>2501</v>
      </c>
      <c r="H949" s="14">
        <v>1294</v>
      </c>
      <c r="J949" t="str">
        <f>HYPERLINK("https://jicheng.tw/tcm/book/%e4%b8%89%e5%85%83%e5%8f%83%e8%b4%8a%e5%bb%b6%e5%a3%bd%e6%9b%b8/index.html")</f>
        <v>https://jicheng.tw/tcm/book/%e4%b8%89%e5%85%83%e5%8f%83%e8%b4%8a%e5%bb%b6%e5%a3%bd%e6%9b%b8/index.html</v>
      </c>
    </row>
    <row r="950" spans="1:10">
      <c r="A950" s="10" t="s">
        <v>955</v>
      </c>
      <c r="B950" s="10"/>
      <c r="C950" s="10"/>
      <c r="D950" t="s">
        <v>968</v>
      </c>
      <c r="E950" t="s">
        <v>968</v>
      </c>
      <c r="F950" t="s">
        <v>3164</v>
      </c>
      <c r="G950" s="14" t="s">
        <v>2501</v>
      </c>
      <c r="H950" s="14">
        <v>1360</v>
      </c>
      <c r="J950" t="str">
        <f>HYPERLINK("https://jicheng.tw/tcm/book/%e5%b1%b1%e5%b1%85%e5%9b%9b%e8%a6%81/index.html")</f>
        <v>https://jicheng.tw/tcm/book/%e5%b1%b1%e5%b1%85%e5%9b%9b%e8%a6%81/index.html</v>
      </c>
    </row>
    <row r="951" spans="1:10">
      <c r="A951" s="10" t="s">
        <v>955</v>
      </c>
      <c r="B951" s="10"/>
      <c r="C951" s="10"/>
      <c r="D951" t="s">
        <v>1979</v>
      </c>
      <c r="E951" t="s">
        <v>969</v>
      </c>
      <c r="F951" t="s">
        <v>2683</v>
      </c>
      <c r="G951" s="14" t="s">
        <v>2495</v>
      </c>
      <c r="H951" s="14">
        <v>1595</v>
      </c>
      <c r="J951" t="str">
        <f>HYPERLINK("https://jicheng.tw/tcm/book/%e6%94%9d%e7%94%9f%e9%9b%86%e8%a6%bd/index.html")</f>
        <v>https://jicheng.tw/tcm/book/%e6%94%9d%e7%94%9f%e9%9b%86%e8%a6%bd/index.html</v>
      </c>
    </row>
    <row r="952" spans="1:10">
      <c r="A952" s="10" t="s">
        <v>955</v>
      </c>
      <c r="B952" s="10"/>
      <c r="C952" s="10"/>
      <c r="D952" t="s">
        <v>1980</v>
      </c>
      <c r="E952" t="s">
        <v>970</v>
      </c>
      <c r="F952" t="s">
        <v>3165</v>
      </c>
      <c r="G952" s="14" t="s">
        <v>2515</v>
      </c>
      <c r="H952" s="14">
        <v>1592</v>
      </c>
      <c r="J952" t="str">
        <f>HYPERLINK("https://jicheng.tw/tcm/book/%e6%94%9d%e7%94%9f%e8%a6%81%e7%be%a9/index.html")</f>
        <v>https://jicheng.tw/tcm/book/%e6%94%9d%e7%94%9f%e8%a6%81%e7%be%a9/index.html</v>
      </c>
    </row>
    <row r="953" spans="1:10">
      <c r="A953" s="10" t="s">
        <v>955</v>
      </c>
      <c r="B953" s="10"/>
      <c r="C953" s="10"/>
      <c r="D953" t="s">
        <v>1981</v>
      </c>
      <c r="E953" t="s">
        <v>971</v>
      </c>
      <c r="F953" t="s">
        <v>3153</v>
      </c>
      <c r="G953" s="14" t="s">
        <v>2496</v>
      </c>
      <c r="J953" t="str">
        <f>HYPERLINK("https://jicheng.tw/tcm/book/%e5%a3%bd%e8%a6%aa%e9%a4%8a%e8%80%81%e6%9b%b8/index.html")</f>
        <v>https://jicheng.tw/tcm/book/%e5%a3%bd%e8%a6%aa%e9%a4%8a%e8%80%81%e6%9b%b8/index.html</v>
      </c>
    </row>
    <row r="954" spans="1:10">
      <c r="A954" s="10" t="s">
        <v>955</v>
      </c>
      <c r="B954" s="10"/>
      <c r="C954" s="10"/>
      <c r="D954" t="s">
        <v>1982</v>
      </c>
      <c r="E954" t="s">
        <v>972</v>
      </c>
      <c r="F954" t="s">
        <v>3166</v>
      </c>
      <c r="G954" s="14" t="s">
        <v>2498</v>
      </c>
      <c r="J954" t="str">
        <f>HYPERLINK("https://jicheng.tw/tcm/book/%e5%a3%bd%e4%b8%96%e7%b7%a8/index.html")</f>
        <v>https://jicheng.tw/tcm/book/%e5%a3%bd%e4%b8%96%e7%b7%a8/index.html</v>
      </c>
    </row>
    <row r="955" spans="1:10">
      <c r="A955" s="10" t="s">
        <v>955</v>
      </c>
      <c r="B955" s="10"/>
      <c r="C955" s="10"/>
      <c r="D955" t="s">
        <v>973</v>
      </c>
      <c r="E955" t="s">
        <v>973</v>
      </c>
      <c r="F955" t="s">
        <v>2683</v>
      </c>
      <c r="G955" s="14" t="s">
        <v>2495</v>
      </c>
      <c r="H955" s="14">
        <v>1592</v>
      </c>
      <c r="J955" t="str">
        <f>HYPERLINK("https://jicheng.tw/tcm/book/%e5%a4%aa%e7%b4%a0%e8%84%88%e8%a8%a3%e7%a7%98%e6%9b%b8/index.html")</f>
        <v>https://jicheng.tw/tcm/book/%e5%a4%aa%e7%b4%a0%e8%84%88%e8%a8%a3%e7%a7%98%e6%9b%b8/index.html</v>
      </c>
    </row>
    <row r="956" spans="1:10">
      <c r="A956" s="10" t="s">
        <v>955</v>
      </c>
      <c r="B956" s="10"/>
      <c r="C956" s="10"/>
      <c r="D956" t="s">
        <v>974</v>
      </c>
      <c r="E956" t="s">
        <v>974</v>
      </c>
      <c r="F956" t="s">
        <v>2683</v>
      </c>
      <c r="G956" s="14" t="s">
        <v>2495</v>
      </c>
      <c r="H956" s="14">
        <v>1592</v>
      </c>
      <c r="J956" t="str">
        <f>HYPERLINK("https://jicheng.tw/tcm/book/%e5%a4%aa%e7%b4%a0%e5%bf%83%e8%a6%81/index.html")</f>
        <v>https://jicheng.tw/tcm/book/%e5%a4%aa%e7%b4%a0%e5%bf%83%e8%a6%81/index.html</v>
      </c>
    </row>
    <row r="957" spans="1:10">
      <c r="A957" s="10" t="s">
        <v>955</v>
      </c>
      <c r="B957" s="10"/>
      <c r="C957" s="10"/>
      <c r="D957" t="s">
        <v>1983</v>
      </c>
      <c r="E957" t="s">
        <v>975</v>
      </c>
      <c r="F957" t="s">
        <v>2683</v>
      </c>
      <c r="G957" s="14" t="s">
        <v>2495</v>
      </c>
      <c r="J957" t="str">
        <f>HYPERLINK("https://jicheng.tw/tcm/book/%e9%a6%99%e5%a5%a9%e6%bd%a4%e8%89%b2/index.html")</f>
        <v>https://jicheng.tw/tcm/book/%e9%a6%99%e5%a5%a9%e6%bd%a4%e8%89%b2/index.html</v>
      </c>
    </row>
    <row r="958" spans="1:10">
      <c r="A958" s="10" t="s">
        <v>955</v>
      </c>
      <c r="B958" s="10"/>
      <c r="C958" s="10"/>
      <c r="D958" t="s">
        <v>1984</v>
      </c>
      <c r="E958" t="s">
        <v>976</v>
      </c>
      <c r="F958" t="s">
        <v>3167</v>
      </c>
      <c r="G958" s="14" t="s">
        <v>2501</v>
      </c>
      <c r="H958" s="14">
        <v>1368</v>
      </c>
      <c r="J958" t="str">
        <f>HYPERLINK("https://jicheng.tw/tcm/book/%e5%bf%83%e5%8d%b0%e7%b4%ba%e7%8f%a0%e7%b6%93/index.html")</f>
        <v>https://jicheng.tw/tcm/book/%e5%bf%83%e5%8d%b0%e7%b4%ba%e7%8f%a0%e7%b6%93/index.html</v>
      </c>
    </row>
    <row r="959" spans="1:10">
      <c r="A959" s="10" t="s">
        <v>955</v>
      </c>
      <c r="B959" s="10"/>
      <c r="C959" s="10"/>
      <c r="D959" t="s">
        <v>977</v>
      </c>
      <c r="E959" t="s">
        <v>977</v>
      </c>
      <c r="F959" t="s">
        <v>3168</v>
      </c>
      <c r="G959" s="14" t="s">
        <v>2496</v>
      </c>
      <c r="H959" s="14">
        <v>1220</v>
      </c>
      <c r="J959" t="str">
        <f>HYPERLINK("https://jicheng.tw/tcm/book/%e9%a4%8a%e7%94%9f%e9%a1%9e%e7%ba%82/index.html")</f>
        <v>https://jicheng.tw/tcm/book/%e9%a4%8a%e7%94%9f%e9%a1%9e%e7%ba%82/index.html</v>
      </c>
    </row>
    <row r="960" spans="1:10">
      <c r="A960" s="10" t="s">
        <v>955</v>
      </c>
      <c r="B960" s="10"/>
      <c r="C960" s="10"/>
      <c r="D960" t="s">
        <v>978</v>
      </c>
      <c r="E960" t="s">
        <v>978</v>
      </c>
      <c r="F960" t="s">
        <v>3169</v>
      </c>
      <c r="G960" s="14" t="s">
        <v>2495</v>
      </c>
      <c r="J960" t="str">
        <f>HYPERLINK("https://jicheng.tw/tcm/book/%e4%bf%ae%e7%9c%9f%e7%a7%98%e8%a6%81/index.html")</f>
        <v>https://jicheng.tw/tcm/book/%e4%bf%ae%e7%9c%9f%e7%a7%98%e8%a6%81/index.html</v>
      </c>
    </row>
    <row r="961" spans="1:10">
      <c r="A961" s="10" t="s">
        <v>955</v>
      </c>
      <c r="B961" s="10"/>
      <c r="C961" s="10"/>
      <c r="D961" t="s">
        <v>1985</v>
      </c>
      <c r="E961" t="s">
        <v>979</v>
      </c>
      <c r="F961" t="s">
        <v>3168</v>
      </c>
      <c r="G961" s="14" t="s">
        <v>2496</v>
      </c>
      <c r="H961" s="14">
        <v>1200</v>
      </c>
      <c r="J961" t="str">
        <f>HYPERLINK("https://jicheng.tw/tcm/book/%e9%a4%8a%e7%94%9f%e6%9c%88%e8%a6%bd/index.html")</f>
        <v>https://jicheng.tw/tcm/book/%e9%a4%8a%e7%94%9f%e6%9c%88%e8%a6%bd/index.html</v>
      </c>
    </row>
    <row r="962" spans="1:10">
      <c r="A962" s="10" t="s">
        <v>955</v>
      </c>
      <c r="B962" s="10"/>
      <c r="C962" s="10"/>
      <c r="D962" t="s">
        <v>980</v>
      </c>
      <c r="E962" t="s">
        <v>980</v>
      </c>
      <c r="F962" t="s">
        <v>3043</v>
      </c>
      <c r="G962" s="14" t="s">
        <v>2495</v>
      </c>
      <c r="H962" s="14">
        <v>1576</v>
      </c>
      <c r="J962" t="str">
        <f>HYPERLINK("https://jicheng.tw/tcm/book/%e9%a4%8a%e7%94%9f%e5%9b%9b%e8%a6%81/index.html")</f>
        <v>https://jicheng.tw/tcm/book/%e9%a4%8a%e7%94%9f%e5%9b%9b%e8%a6%81/index.html</v>
      </c>
    </row>
    <row r="963" spans="1:10">
      <c r="A963" s="10" t="s">
        <v>955</v>
      </c>
      <c r="B963" s="10"/>
      <c r="C963" s="10"/>
      <c r="D963" t="s">
        <v>981</v>
      </c>
      <c r="E963" t="s">
        <v>981</v>
      </c>
      <c r="F963" t="s">
        <v>3043</v>
      </c>
      <c r="G963" s="14" t="s">
        <v>2495</v>
      </c>
      <c r="H963" s="14">
        <v>1570</v>
      </c>
      <c r="J963" t="str">
        <f>HYPERLINK("https://jicheng.tw/tcm/book/%e4%bf%9d%e5%91%bd%e6%ad%8c%e6%8b%ac/index.html")</f>
        <v>https://jicheng.tw/tcm/book/%e4%bf%9d%e5%91%bd%e6%ad%8c%e6%8b%ac/index.html</v>
      </c>
    </row>
    <row r="964" spans="1:10">
      <c r="A964" s="10" t="s">
        <v>955</v>
      </c>
      <c r="B964" s="10"/>
      <c r="C964" s="10"/>
      <c r="D964" t="s">
        <v>1986</v>
      </c>
      <c r="E964" t="s">
        <v>982</v>
      </c>
      <c r="F964" t="s">
        <v>2683</v>
      </c>
      <c r="G964" s="14" t="s">
        <v>2495</v>
      </c>
      <c r="H964" s="14">
        <v>1563</v>
      </c>
      <c r="J964" t="str">
        <f>HYPERLINK("https://jicheng.tw/tcm/book/%e9%86%ab%e5%ad%b8%e6%ac%8a%e8%bc%bf/index.html")</f>
        <v>https://jicheng.tw/tcm/book/%e9%86%ab%e5%ad%b8%e6%ac%8a%e8%bc%bf/index.html</v>
      </c>
    </row>
    <row r="965" spans="1:10">
      <c r="A965" s="10" t="s">
        <v>955</v>
      </c>
      <c r="B965" s="10"/>
      <c r="C965" s="10"/>
      <c r="D965" t="s">
        <v>1987</v>
      </c>
      <c r="E965" t="s">
        <v>983</v>
      </c>
      <c r="F965" t="s">
        <v>3153</v>
      </c>
      <c r="G965" s="14" t="s">
        <v>2496</v>
      </c>
      <c r="J965" t="str">
        <f>HYPERLINK("https://jicheng.tw/tcm/book/%e8%bb%92%e8%bd%85%e9%bb%83%e5%b8%9d%e6%b2%bb%e7%97%85%e7%a7%98%e6%b3%95/index.html")</f>
        <v>https://jicheng.tw/tcm/book/%e8%bb%92%e8%bd%85%e9%bb%83%e5%b8%9d%e6%b2%bb%e7%97%85%e7%a7%98%e6%b3%95/index.html</v>
      </c>
    </row>
    <row r="966" spans="1:10">
      <c r="A966" s="10" t="s">
        <v>955</v>
      </c>
      <c r="B966" s="10"/>
      <c r="C966" s="10"/>
      <c r="D966" t="s">
        <v>1988</v>
      </c>
      <c r="E966" t="s">
        <v>984</v>
      </c>
      <c r="F966" t="s">
        <v>3082</v>
      </c>
      <c r="G966" s="14" t="s">
        <v>2512</v>
      </c>
      <c r="J966" t="str">
        <f>HYPERLINK("https://jicheng.tw/tcm/book/%e6%94%9d%e9%a4%8a%e6%9e%95%e4%b8%ad%e6%96%b9/index.html")</f>
        <v>https://jicheng.tw/tcm/book/%e6%94%9d%e9%a4%8a%e6%9e%95%e4%b8%ad%e6%96%b9/index.html</v>
      </c>
    </row>
    <row r="967" spans="1:10">
      <c r="A967" s="10" t="s">
        <v>955</v>
      </c>
      <c r="B967" s="10"/>
      <c r="C967" s="10"/>
      <c r="D967" t="s">
        <v>1989</v>
      </c>
      <c r="E967" t="s">
        <v>985</v>
      </c>
      <c r="J967" t="str">
        <f>HYPERLINK("https://jicheng.tw/tcm/book/%e7%a6%8f%e5%a3%bd%e4%b8%b9%e6%9b%b8/index.html")</f>
        <v>https://jicheng.tw/tcm/book/%e7%a6%8f%e5%a3%bd%e4%b8%b9%e6%9b%b8/index.html</v>
      </c>
    </row>
    <row r="968" spans="1:10">
      <c r="A968" s="10" t="s">
        <v>955</v>
      </c>
      <c r="B968" s="10"/>
      <c r="C968" s="10"/>
      <c r="D968" t="s">
        <v>1990</v>
      </c>
      <c r="E968" t="s">
        <v>986</v>
      </c>
      <c r="F968" t="s">
        <v>3170</v>
      </c>
      <c r="G968" s="14" t="s">
        <v>2501</v>
      </c>
      <c r="H968" s="14">
        <v>1307</v>
      </c>
      <c r="J968" t="str">
        <f>HYPERLINK("https://jicheng.tw/tcm/book/%e5%a3%bd%e8%a6%aa%e9%a4%8a%e8%80%81%e6%96%b0%e6%9b%b8/index.html")</f>
        <v>https://jicheng.tw/tcm/book/%e5%a3%bd%e8%a6%aa%e9%a4%8a%e8%80%81%e6%96%b0%e6%9b%b8/index.html</v>
      </c>
    </row>
    <row r="969" spans="1:10">
      <c r="A969" s="10" t="s">
        <v>955</v>
      </c>
      <c r="B969" s="10"/>
      <c r="C969" s="10"/>
      <c r="D969" t="s">
        <v>1991</v>
      </c>
      <c r="E969" t="s">
        <v>987</v>
      </c>
      <c r="F969" t="s">
        <v>3171</v>
      </c>
      <c r="G969" s="14" t="s">
        <v>2496</v>
      </c>
      <c r="J969" t="str">
        <f>HYPERLINK("https://jicheng.tw/tcm/book/%e5%ae%89%e8%80%81%e6%87%b7%e5%b9%bc%e6%9b%b8/index.html")</f>
        <v>https://jicheng.tw/tcm/book/%e5%ae%89%e8%80%81%e6%87%b7%e5%b9%bc%e6%9b%b8/index.html</v>
      </c>
    </row>
    <row r="970" spans="1:10">
      <c r="A970" s="10" t="s">
        <v>955</v>
      </c>
      <c r="B970" s="10" t="s">
        <v>1992</v>
      </c>
      <c r="C970" s="10"/>
      <c r="D970" t="s">
        <v>1993</v>
      </c>
      <c r="E970" t="s">
        <v>988</v>
      </c>
      <c r="F970" t="s">
        <v>3172</v>
      </c>
      <c r="G970" s="14" t="s">
        <v>3173</v>
      </c>
      <c r="J970" t="str">
        <f>HYPERLINK("https://jicheng.tw/tcm/book/%e5%b7%a2%e6%b0%8f%e7%97%85%e6%ba%90%e8%a3%9c%e9%a4%8a%e5%ae%a3%e5%b0%8e%e6%b3%95/index.html")</f>
        <v>https://jicheng.tw/tcm/book/%e5%b7%a2%e6%b0%8f%e7%97%85%e6%ba%90%e8%a3%9c%e9%a4%8a%e5%ae%a3%e5%b0%8e%e6%b3%95/index.html</v>
      </c>
    </row>
    <row r="971" spans="1:10">
      <c r="A971" s="10" t="s">
        <v>955</v>
      </c>
      <c r="B971" s="10" t="s">
        <v>1992</v>
      </c>
      <c r="C971" s="10"/>
      <c r="D971" t="s">
        <v>989</v>
      </c>
      <c r="E971" t="s">
        <v>989</v>
      </c>
      <c r="F971" t="s">
        <v>2683</v>
      </c>
      <c r="G971" s="14" t="s">
        <v>2495</v>
      </c>
      <c r="H971" s="14" t="s">
        <v>3006</v>
      </c>
      <c r="J971" t="str">
        <f>HYPERLINK("https://jicheng.tw/tcm/book/%e9%a4%8a%e7%94%9f%e5%b0%8e%e5%bc%95%e7%a7%98%e7%b1%8d/index.html")</f>
        <v>https://jicheng.tw/tcm/book/%e9%a4%8a%e7%94%9f%e5%b0%8e%e5%bc%95%e7%a7%98%e7%b1%8d/index.html</v>
      </c>
    </row>
    <row r="972" spans="1:10">
      <c r="A972" s="10" t="s">
        <v>955</v>
      </c>
      <c r="B972" s="10" t="s">
        <v>1992</v>
      </c>
      <c r="C972" s="10"/>
      <c r="D972" t="s">
        <v>990</v>
      </c>
      <c r="E972" t="s">
        <v>990</v>
      </c>
      <c r="F972" t="s">
        <v>3174</v>
      </c>
      <c r="G972" s="14" t="s">
        <v>2498</v>
      </c>
      <c r="H972" s="14">
        <v>1696</v>
      </c>
      <c r="J972" t="str">
        <f>HYPERLINK("https://jicheng.tw/tcm/book/%e5%8b%95%e5%8a%9f%e6%8c%89%e6%91%a9%e7%a7%98%e8%a8%a3/index.html")</f>
        <v>https://jicheng.tw/tcm/book/%e5%8b%95%e5%8a%9f%e6%8c%89%e6%91%a9%e7%a7%98%e8%a8%a3/index.html</v>
      </c>
    </row>
    <row r="973" spans="1:10">
      <c r="A973" s="10" t="s">
        <v>955</v>
      </c>
      <c r="B973" s="10" t="s">
        <v>1992</v>
      </c>
      <c r="C973" s="10"/>
      <c r="D973" t="s">
        <v>991</v>
      </c>
      <c r="E973" t="s">
        <v>991</v>
      </c>
      <c r="F973" t="s">
        <v>2683</v>
      </c>
      <c r="G973" s="14" t="s">
        <v>2495</v>
      </c>
      <c r="H973" s="14">
        <v>1592</v>
      </c>
      <c r="J973" t="str">
        <f>HYPERLINK("https://jicheng.tw/tcm/book/%e9%a4%8a%e7%94%9f%e5%b0%8e%e5%bc%95%e6%b3%95/index.html")</f>
        <v>https://jicheng.tw/tcm/book/%e9%a4%8a%e7%94%9f%e5%b0%8e%e5%bc%95%e6%b3%95/index.html</v>
      </c>
    </row>
    <row r="974" spans="1:10">
      <c r="A974" s="10" t="s">
        <v>955</v>
      </c>
      <c r="B974" s="10" t="s">
        <v>1992</v>
      </c>
      <c r="C974" s="10"/>
      <c r="D974" t="s">
        <v>1994</v>
      </c>
      <c r="E974" t="s">
        <v>992</v>
      </c>
      <c r="F974" t="s">
        <v>3175</v>
      </c>
      <c r="J974" t="str">
        <f>HYPERLINK("https://jicheng.tw/tcm/book/%e9%81%94%e6%91%a9%e6%b4%97%e9%ab%93%e6%98%93%e7%ad%8b%e7%b6%93/index.html")</f>
        <v>https://jicheng.tw/tcm/book/%e9%81%94%e6%91%a9%e6%b4%97%e9%ab%93%e6%98%93%e7%ad%8b%e7%b6%93/index.html</v>
      </c>
    </row>
    <row r="975" spans="1:10">
      <c r="A975" s="10" t="s">
        <v>955</v>
      </c>
      <c r="B975" s="10" t="s">
        <v>1995</v>
      </c>
      <c r="C975" s="10"/>
      <c r="D975" t="s">
        <v>993</v>
      </c>
      <c r="E975" t="s">
        <v>993</v>
      </c>
      <c r="F975" t="s">
        <v>3082</v>
      </c>
      <c r="G975" s="14" t="s">
        <v>2512</v>
      </c>
      <c r="H975" s="14">
        <v>652</v>
      </c>
      <c r="J975" t="str">
        <f>HYPERLINK("https://jicheng.tw/tcm/book/%e5%8d%83%e9%87%91%e9%a3%9f%e6%b2%bb/index.html")</f>
        <v>https://jicheng.tw/tcm/book/%e5%8d%83%e9%87%91%e9%a3%9f%e6%b2%bb/index.html</v>
      </c>
    </row>
    <row r="976" spans="1:10">
      <c r="A976" s="10" t="s">
        <v>955</v>
      </c>
      <c r="B976" s="10" t="s">
        <v>1995</v>
      </c>
      <c r="C976" s="10"/>
      <c r="D976" t="s">
        <v>994</v>
      </c>
      <c r="E976" t="s">
        <v>994</v>
      </c>
      <c r="F976" t="s">
        <v>3176</v>
      </c>
      <c r="G976" s="14" t="s">
        <v>2501</v>
      </c>
      <c r="J976" t="str">
        <f>HYPERLINK("https://jicheng.tw/tcm/book/%e9%a3%9f%e7%99%82%e6%96%b9/index.html")</f>
        <v>https://jicheng.tw/tcm/book/%e9%a3%9f%e7%99%82%e6%96%b9/index.html</v>
      </c>
    </row>
    <row r="977" spans="1:10">
      <c r="A977" s="10" t="s">
        <v>955</v>
      </c>
      <c r="B977" s="10" t="s">
        <v>1995</v>
      </c>
      <c r="C977" s="10"/>
      <c r="D977" t="s">
        <v>995</v>
      </c>
      <c r="E977" t="s">
        <v>995</v>
      </c>
      <c r="F977" t="s">
        <v>3176</v>
      </c>
      <c r="G977" s="14" t="s">
        <v>2501</v>
      </c>
      <c r="H977" s="14">
        <v>1330</v>
      </c>
      <c r="J977" t="str">
        <f>HYPERLINK("https://jicheng.tw/tcm/book/%e9%a3%b2%e8%86%b3%e6%ad%a3%e8%a6%81/index.html")</f>
        <v>https://jicheng.tw/tcm/book/%e9%a3%b2%e8%86%b3%e6%ad%a3%e8%a6%81/index.html</v>
      </c>
    </row>
    <row r="978" spans="1:10">
      <c r="A978" s="10" t="s">
        <v>955</v>
      </c>
      <c r="B978" s="10" t="s">
        <v>1995</v>
      </c>
      <c r="C978" s="10"/>
      <c r="D978" t="s">
        <v>996</v>
      </c>
      <c r="E978" t="s">
        <v>996</v>
      </c>
      <c r="F978" t="s">
        <v>3177</v>
      </c>
      <c r="G978" s="14" t="s">
        <v>2495</v>
      </c>
      <c r="J978" t="str">
        <f>HYPERLINK("https://jicheng.tw/tcm/book/%e4%bf%9d%e7%94%9f%e5%bf%83%e9%91%91/index.html")</f>
        <v>https://jicheng.tw/tcm/book/%e4%bf%9d%e7%94%9f%e5%bf%83%e9%91%91/index.html</v>
      </c>
    </row>
    <row r="979" spans="1:10">
      <c r="A979" s="10" t="s">
        <v>955</v>
      </c>
      <c r="B979" s="10" t="s">
        <v>1995</v>
      </c>
      <c r="C979" s="10"/>
      <c r="D979" t="s">
        <v>997</v>
      </c>
      <c r="E979" t="s">
        <v>997</v>
      </c>
      <c r="F979" t="s">
        <v>3178</v>
      </c>
      <c r="H979" s="14">
        <v>1592</v>
      </c>
      <c r="J979" t="str">
        <f>HYPERLINK("https://jicheng.tw/tcm/book/%e9%a4%8a%e7%94%9f%e9%a3%9f%e5%bf%8c/index.html")</f>
        <v>https://jicheng.tw/tcm/book/%e9%a4%8a%e7%94%9f%e9%a3%9f%e5%bf%8c/index.html</v>
      </c>
    </row>
    <row r="980" spans="1:10">
      <c r="A980" s="10" t="s">
        <v>955</v>
      </c>
      <c r="B980" s="10" t="s">
        <v>1995</v>
      </c>
      <c r="C980" s="10"/>
      <c r="D980" t="s">
        <v>1996</v>
      </c>
      <c r="E980" t="s">
        <v>998</v>
      </c>
      <c r="F980" t="s">
        <v>2682</v>
      </c>
      <c r="G980" s="14" t="s">
        <v>2498</v>
      </c>
      <c r="J980" t="str">
        <f>HYPERLINK("https://jicheng.tw/tcm/book/%e9%9a%a8%e6%81%af%e5%b1%85%e9%a3%b2%e9%a3%9f%e8%ad%9c/index.html")</f>
        <v>https://jicheng.tw/tcm/book/%e9%9a%a8%e6%81%af%e5%b1%85%e9%a3%b2%e9%a3%9f%e8%ad%9c/index.html</v>
      </c>
    </row>
    <row r="981" spans="1:10">
      <c r="A981" s="10" t="s">
        <v>955</v>
      </c>
      <c r="B981" s="10" t="s">
        <v>1995</v>
      </c>
      <c r="C981" s="10"/>
      <c r="D981" t="s">
        <v>999</v>
      </c>
      <c r="E981" t="s">
        <v>999</v>
      </c>
      <c r="F981" t="s">
        <v>3179</v>
      </c>
      <c r="G981" s="14" t="s">
        <v>2501</v>
      </c>
      <c r="H981" s="14" t="s">
        <v>3007</v>
      </c>
      <c r="J981" t="str">
        <f>HYPERLINK("https://jicheng.tw/tcm/book/%e9%a3%b2%e9%a3%9f%e9%a0%88%e7%9f%a5/index.html")</f>
        <v>https://jicheng.tw/tcm/book/%e9%a3%b2%e9%a3%9f%e9%a0%88%e7%9f%a5/index.html</v>
      </c>
    </row>
    <row r="982" spans="1:10">
      <c r="A982" s="10" t="s">
        <v>955</v>
      </c>
      <c r="B982" s="10" t="s">
        <v>1995</v>
      </c>
      <c r="C982" s="10"/>
      <c r="D982" t="s">
        <v>1997</v>
      </c>
      <c r="E982" t="s">
        <v>1000</v>
      </c>
      <c r="F982" t="s">
        <v>3180</v>
      </c>
      <c r="G982" s="14" t="s">
        <v>2498</v>
      </c>
      <c r="H982" s="14">
        <v>1813</v>
      </c>
      <c r="J982" t="str">
        <f>HYPERLINK("https://jicheng.tw/tcm/book/%e8%aa%bf%e7%96%be%e9%a3%b2%e9%a3%9f%e8%be%a8/index.html")</f>
        <v>https://jicheng.tw/tcm/book/%e8%aa%bf%e7%96%be%e9%a3%b2%e9%a3%9f%e8%be%a8/index.html</v>
      </c>
    </row>
    <row r="983" spans="1:10">
      <c r="A983" s="10" t="s">
        <v>955</v>
      </c>
      <c r="B983" s="10" t="s">
        <v>1995</v>
      </c>
      <c r="C983" s="10"/>
      <c r="D983" t="s">
        <v>1001</v>
      </c>
      <c r="E983" t="s">
        <v>1001</v>
      </c>
      <c r="F983" t="s">
        <v>3181</v>
      </c>
      <c r="G983" s="14" t="s">
        <v>2495</v>
      </c>
      <c r="H983" s="14">
        <v>1614</v>
      </c>
      <c r="J983" t="str">
        <f>HYPERLINK("https://jicheng.tw/tcm/book/%e9%a3%9f%e7%89%a9%e8%bc%af%e8%a6%81/index.html")</f>
        <v>https://jicheng.tw/tcm/book/%e9%a3%9f%e7%89%a9%e8%bc%af%e8%a6%81/index.html</v>
      </c>
    </row>
    <row r="984" spans="1:10">
      <c r="A984" s="10" t="s">
        <v>955</v>
      </c>
      <c r="B984" s="10" t="s">
        <v>1002</v>
      </c>
      <c r="C984" s="10"/>
      <c r="D984" t="s">
        <v>1998</v>
      </c>
      <c r="E984" t="s">
        <v>1003</v>
      </c>
      <c r="F984" t="s">
        <v>3182</v>
      </c>
      <c r="G984" s="14" t="s">
        <v>2498</v>
      </c>
      <c r="H984" s="14">
        <v>1805</v>
      </c>
      <c r="J984" t="str">
        <f>HYPERLINK("https://jicheng.tw/tcm/book/%e6%80%a5%e6%95%91%e5%bb%a3%e7%94%9f%e9%9b%86/index.html")</f>
        <v>https://jicheng.tw/tcm/book/%e6%80%a5%e6%95%91%e5%bb%a3%e7%94%9f%e9%9b%86/index.html</v>
      </c>
    </row>
    <row r="985" spans="1:10">
      <c r="A985" s="10" t="s">
        <v>955</v>
      </c>
      <c r="B985" s="10" t="s">
        <v>1002</v>
      </c>
      <c r="C985" s="10"/>
      <c r="D985" t="s">
        <v>1004</v>
      </c>
      <c r="E985" t="s">
        <v>1004</v>
      </c>
      <c r="F985" t="s">
        <v>3183</v>
      </c>
      <c r="G985" s="14" t="s">
        <v>2498</v>
      </c>
      <c r="H985" s="14">
        <v>1864</v>
      </c>
      <c r="J985" t="str">
        <f>HYPERLINK("https://jicheng.tw/tcm/book/%e7%90%86%e7%80%b9%e9%a7%a2%e6%96%87/index.html")</f>
        <v>https://jicheng.tw/tcm/book/%e7%90%86%e7%80%b9%e9%a7%a2%e6%96%87/index.html</v>
      </c>
    </row>
    <row r="986" spans="1:10">
      <c r="A986" s="10" t="s">
        <v>955</v>
      </c>
      <c r="B986" s="10" t="s">
        <v>1002</v>
      </c>
      <c r="C986" s="10"/>
      <c r="D986" t="s">
        <v>1005</v>
      </c>
      <c r="E986" t="s">
        <v>1005</v>
      </c>
      <c r="F986" t="s">
        <v>3183</v>
      </c>
      <c r="G986" s="14" t="s">
        <v>2498</v>
      </c>
      <c r="J986" t="str">
        <f>HYPERLINK("https://jicheng.tw/tcm/book/%e7%90%86%e7%80%b9%e9%a7%a2%e6%96%87%5f%31/index.html")</f>
        <v>https://jicheng.tw/tcm/book/%e7%90%86%e7%80%b9%e9%a7%a2%e6%96%87%5f%31/index.html</v>
      </c>
    </row>
    <row r="987" spans="1:10">
      <c r="A987" s="10" t="s">
        <v>1999</v>
      </c>
      <c r="B987" s="10"/>
      <c r="C987" s="10"/>
      <c r="D987" t="s">
        <v>2000</v>
      </c>
      <c r="E987" t="s">
        <v>1006</v>
      </c>
      <c r="F987" t="s">
        <v>3184</v>
      </c>
      <c r="G987" s="14" t="s">
        <v>2498</v>
      </c>
      <c r="H987" s="14">
        <v>1745</v>
      </c>
      <c r="J987" t="str">
        <f>HYPERLINK("https://jicheng.tw/tcm/book/%e5%8c%97%e5%b1%b1%e9%86%ab%e6%a1%88/index.html")</f>
        <v>https://jicheng.tw/tcm/book/%e5%8c%97%e5%b1%b1%e9%86%ab%e6%a1%88/index.html</v>
      </c>
    </row>
    <row r="988" spans="1:10">
      <c r="A988" s="10" t="s">
        <v>1999</v>
      </c>
      <c r="B988" s="10"/>
      <c r="C988" s="10"/>
      <c r="D988" t="s">
        <v>2001</v>
      </c>
      <c r="E988" t="s">
        <v>1007</v>
      </c>
      <c r="F988" t="s">
        <v>3185</v>
      </c>
      <c r="G988" s="14" t="s">
        <v>2498</v>
      </c>
      <c r="J988" t="str">
        <f>HYPERLINK("https://jicheng.tw/tcm/book/%e5%85%88%e5%93%b2%e9%86%ab%e8%a9%b1/index.html")</f>
        <v>https://jicheng.tw/tcm/book/%e5%85%88%e5%93%b2%e9%86%ab%e8%a9%b1/index.html</v>
      </c>
    </row>
    <row r="989" spans="1:10">
      <c r="A989" s="10" t="s">
        <v>1999</v>
      </c>
      <c r="B989" s="10"/>
      <c r="C989" s="10"/>
      <c r="D989" t="s">
        <v>2002</v>
      </c>
      <c r="E989" s="1" t="s">
        <v>1008</v>
      </c>
      <c r="F989" t="s">
        <v>3186</v>
      </c>
      <c r="G989" s="14" t="s">
        <v>2498</v>
      </c>
      <c r="H989" s="14">
        <v>1798</v>
      </c>
      <c r="I989" s="1"/>
      <c r="J989" s="1" t="str">
        <f>HYPERLINK("https://jicheng.tw/tcm/book/%e5%90%b3%e9%9e%a0%e9%80%9a%e9%86%ab%e6%a1%88/index.html")</f>
        <v>https://jicheng.tw/tcm/book/%e5%90%b3%e9%9e%a0%e9%80%9a%e9%86%ab%e6%a1%88/index.html</v>
      </c>
    </row>
    <row r="990" spans="1:10">
      <c r="A990" s="10" t="s">
        <v>1999</v>
      </c>
      <c r="B990" s="10"/>
      <c r="C990" s="10"/>
      <c r="D990" t="s">
        <v>2003</v>
      </c>
      <c r="E990" s="1" t="s">
        <v>1009</v>
      </c>
      <c r="F990" t="s">
        <v>3186</v>
      </c>
      <c r="G990" s="14" t="s">
        <v>2498</v>
      </c>
      <c r="I990" s="1"/>
      <c r="J990" s="1" t="str">
        <f>HYPERLINK("https://jicheng.tw/tcm/book/%e5%90%b3%e9%9e%a0%e9%80%9a%e9%86%ab%e6%a1%88%5f%31/index.html")</f>
        <v>https://jicheng.tw/tcm/book/%e5%90%b3%e9%9e%a0%e9%80%9a%e9%86%ab%e6%a1%88%5f%31/index.html</v>
      </c>
    </row>
    <row r="991" spans="1:10">
      <c r="A991" s="10" t="s">
        <v>1999</v>
      </c>
      <c r="B991" s="10"/>
      <c r="C991" s="10"/>
      <c r="D991" t="s">
        <v>2004</v>
      </c>
      <c r="E991" t="s">
        <v>1010</v>
      </c>
      <c r="F991" t="s">
        <v>3187</v>
      </c>
      <c r="G991" s="14" t="s">
        <v>3188</v>
      </c>
      <c r="H991" s="14">
        <v>1937</v>
      </c>
      <c r="J991" t="str">
        <f>HYPERLINK("https://jicheng.tw/tcm/book/%e9%82%b5%e8%98%ad%e8%93%80%e9%86%ab%e6%a1%88/index.html")</f>
        <v>https://jicheng.tw/tcm/book/%e9%82%b5%e8%98%ad%e8%93%80%e9%86%ab%e6%a1%88/index.html</v>
      </c>
    </row>
    <row r="992" spans="1:10">
      <c r="A992" s="10" t="s">
        <v>1999</v>
      </c>
      <c r="B992" s="10"/>
      <c r="C992" s="10"/>
      <c r="D992" t="s">
        <v>2005</v>
      </c>
      <c r="E992" t="s">
        <v>1011</v>
      </c>
      <c r="F992" t="s">
        <v>3189</v>
      </c>
      <c r="G992" s="14" t="s">
        <v>2498</v>
      </c>
      <c r="H992" s="14">
        <v>1875</v>
      </c>
      <c r="J992" t="str">
        <f>HYPERLINK("https://jicheng.tw/tcm/book/%e4%bd%95%e6%be%b9%e5%ae%89%e9%86%ab%e6%a1%88/index.html")</f>
        <v>https://jicheng.tw/tcm/book/%e4%bd%95%e6%be%b9%e5%ae%89%e9%86%ab%e6%a1%88/index.html</v>
      </c>
    </row>
    <row r="993" spans="1:10">
      <c r="A993" s="10" t="s">
        <v>1999</v>
      </c>
      <c r="B993" s="10"/>
      <c r="C993" s="10"/>
      <c r="D993" t="s">
        <v>2006</v>
      </c>
      <c r="E993" t="s">
        <v>1012</v>
      </c>
      <c r="F993" t="s">
        <v>3190</v>
      </c>
      <c r="G993" s="14" t="s">
        <v>2498</v>
      </c>
      <c r="H993" s="14">
        <v>1897</v>
      </c>
      <c r="J993" t="str">
        <f>HYPERLINK("https://jicheng.tw/tcm/book/%e5%bc%b5%e8%81%bf%e9%9d%92%e9%86%ab%e6%a1%88/index.html")</f>
        <v>https://jicheng.tw/tcm/book/%e5%bc%b5%e8%81%bf%e9%9d%92%e9%86%ab%e6%a1%88/index.html</v>
      </c>
    </row>
    <row r="994" spans="1:10">
      <c r="A994" s="10" t="s">
        <v>1999</v>
      </c>
      <c r="B994" s="10"/>
      <c r="C994" s="10"/>
      <c r="D994" t="s">
        <v>2007</v>
      </c>
      <c r="E994" t="s">
        <v>1013</v>
      </c>
      <c r="F994" t="s">
        <v>3191</v>
      </c>
      <c r="G994" s="14" t="s">
        <v>2498</v>
      </c>
      <c r="H994" s="14">
        <v>1914</v>
      </c>
      <c r="J994" t="str">
        <f>HYPERLINK("https://jicheng.tw/tcm/book/%e5%8f%a2%e6%a1%82%e8%8d%89%e5%a0%82%e9%86%ab%e6%a1%88/index.html")</f>
        <v>https://jicheng.tw/tcm/book/%e5%8f%a2%e6%a1%82%e8%8d%89%e5%a0%82%e9%86%ab%e6%a1%88/index.html</v>
      </c>
    </row>
    <row r="995" spans="1:10">
      <c r="A995" s="10" t="s">
        <v>1999</v>
      </c>
      <c r="B995" s="10"/>
      <c r="C995" s="10"/>
      <c r="D995" t="s">
        <v>1014</v>
      </c>
      <c r="E995" t="s">
        <v>1014</v>
      </c>
      <c r="F995" t="s">
        <v>3192</v>
      </c>
      <c r="G995" s="14" t="s">
        <v>2498</v>
      </c>
      <c r="H995" s="14">
        <v>1786</v>
      </c>
      <c r="J995" t="str">
        <f>HYPERLINK("https://jicheng.tw/tcm/book/%e5%a5%87%e7%97%87%e5%bd%99/index.html")</f>
        <v>https://jicheng.tw/tcm/book/%e5%a5%87%e7%97%87%e5%bd%99/index.html</v>
      </c>
    </row>
    <row r="996" spans="1:10">
      <c r="A996" s="10" t="s">
        <v>1999</v>
      </c>
      <c r="B996" s="10"/>
      <c r="C996" s="10"/>
      <c r="D996" t="s">
        <v>2008</v>
      </c>
      <c r="E996" t="s">
        <v>1015</v>
      </c>
      <c r="F996" t="s">
        <v>3193</v>
      </c>
      <c r="G996" s="14" t="s">
        <v>2498</v>
      </c>
      <c r="H996" s="14">
        <v>1769</v>
      </c>
      <c r="J996" t="str">
        <f>HYPERLINK("https://jicheng.tw/tcm/book/%e6%9c%aa%e5%88%bb%e6%9c%ac%e8%91%89%e6%b0%8f%e9%86%ab%e6%a1%88/index.html")</f>
        <v>https://jicheng.tw/tcm/book/%e6%9c%aa%e5%88%bb%e6%9c%ac%e8%91%89%e6%b0%8f%e9%86%ab%e6%a1%88/index.html</v>
      </c>
    </row>
    <row r="997" spans="1:10">
      <c r="A997" s="10" t="s">
        <v>1999</v>
      </c>
      <c r="B997" s="10"/>
      <c r="C997" s="10"/>
      <c r="D997" t="s">
        <v>2009</v>
      </c>
      <c r="E997" t="s">
        <v>1016</v>
      </c>
      <c r="F997" t="s">
        <v>3193</v>
      </c>
      <c r="G997" s="14" t="s">
        <v>2498</v>
      </c>
      <c r="H997" s="14">
        <v>1746</v>
      </c>
      <c r="J997" t="str">
        <f>HYPERLINK("https://jicheng.tw/tcm/book/%e8%87%a8%e8%ad%89%e6%8c%87%e5%8d%97%e9%86%ab%e6%a1%88/index.html")</f>
        <v>https://jicheng.tw/tcm/book/%e8%87%a8%e8%ad%89%e6%8c%87%e5%8d%97%e9%86%ab%e6%a1%88/index.html</v>
      </c>
    </row>
    <row r="998" spans="1:10">
      <c r="A998" s="10" t="s">
        <v>1999</v>
      </c>
      <c r="B998" s="10"/>
      <c r="C998" s="10"/>
      <c r="D998" t="s">
        <v>2010</v>
      </c>
      <c r="E998" t="s">
        <v>1017</v>
      </c>
      <c r="F998" t="s">
        <v>3193</v>
      </c>
      <c r="G998" s="14" t="s">
        <v>2498</v>
      </c>
      <c r="J998" t="str">
        <f>HYPERLINK("https://jicheng.tw/tcm/book/%e8%87%a8%e8%ad%89%e6%8c%87%e5%8d%97%e9%86%ab%e6%a1%88%5f%31/index.html")</f>
        <v>https://jicheng.tw/tcm/book/%e8%87%a8%e8%ad%89%e6%8c%87%e5%8d%97%e9%86%ab%e6%a1%88%5f%31/index.html</v>
      </c>
    </row>
    <row r="999" spans="1:10">
      <c r="A999" s="10" t="s">
        <v>1999</v>
      </c>
      <c r="B999" s="10"/>
      <c r="C999" s="10"/>
      <c r="D999" t="s">
        <v>2011</v>
      </c>
      <c r="E999" t="s">
        <v>1018</v>
      </c>
      <c r="F999" t="s">
        <v>3194</v>
      </c>
      <c r="G999" s="14" t="s">
        <v>2498</v>
      </c>
      <c r="H999" s="14">
        <v>1644</v>
      </c>
      <c r="J999" t="str">
        <f>HYPERLINK("https://jicheng.tw/tcm/book/%e7%8e%8b%e6%97%ad%e9%ab%98%e8%87%a8%e8%ad%89%e9%86%ab%e6%a1%88/index.html")</f>
        <v>https://jicheng.tw/tcm/book/%e7%8e%8b%e6%97%ad%e9%ab%98%e8%87%a8%e8%ad%89%e9%86%ab%e6%a1%88/index.html</v>
      </c>
    </row>
    <row r="1000" spans="1:10">
      <c r="A1000" s="10" t="s">
        <v>1999</v>
      </c>
      <c r="B1000" s="10"/>
      <c r="C1000" s="10"/>
      <c r="D1000" t="s">
        <v>1019</v>
      </c>
      <c r="E1000" t="s">
        <v>1019</v>
      </c>
      <c r="F1000" t="s">
        <v>3195</v>
      </c>
      <c r="G1000" s="14" t="s">
        <v>2498</v>
      </c>
      <c r="H1000" s="14">
        <v>1645</v>
      </c>
      <c r="J1000" t="str">
        <f>HYPERLINK("https://jicheng.tw/tcm/book/%e5%af%93%e6%84%8f%e8%8d%89/index.html")</f>
        <v>https://jicheng.tw/tcm/book/%e5%af%93%e6%84%8f%e8%8d%89/index.html</v>
      </c>
    </row>
    <row r="1001" spans="1:10">
      <c r="A1001" s="10" t="s">
        <v>1999</v>
      </c>
      <c r="B1001" s="10"/>
      <c r="C1001" s="10"/>
      <c r="D1001" t="s">
        <v>2012</v>
      </c>
      <c r="E1001" t="s">
        <v>1020</v>
      </c>
      <c r="F1001" t="s">
        <v>3193</v>
      </c>
      <c r="G1001" s="14" t="s">
        <v>2498</v>
      </c>
      <c r="H1001" s="14">
        <v>1888</v>
      </c>
      <c r="J1001" t="str">
        <f>HYPERLINK("https://jicheng.tw/tcm/book/%e5%be%90%e6%89%b9%e8%91%89%e5%a4%a9%e5%a3%ab%e6%99%9a%e5%b9%b4%e6%96%b9%e6%a1%88%e7%9c%9f%e6%9c%ac/index.html")</f>
        <v>https://jicheng.tw/tcm/book/%e5%be%90%e6%89%b9%e8%91%89%e5%a4%a9%e5%a3%ab%e6%99%9a%e5%b9%b4%e6%96%b9%e6%a1%88%e7%9c%9f%e6%9c%ac/index.html</v>
      </c>
    </row>
    <row r="1002" spans="1:10">
      <c r="A1002" s="10" t="s">
        <v>1999</v>
      </c>
      <c r="B1002" s="10"/>
      <c r="C1002" s="10"/>
      <c r="D1002" t="s">
        <v>2013</v>
      </c>
      <c r="E1002" t="s">
        <v>1021</v>
      </c>
      <c r="F1002" t="s">
        <v>3196</v>
      </c>
      <c r="G1002" s="14" t="s">
        <v>3197</v>
      </c>
      <c r="J1002" s="4" t="str">
        <f>HYPERLINK("https://jicheng.tw/tcm/book/%e8%a8%b1%e6%b0%8f%e9%86%ab%e6%a1%88/index.html")</f>
        <v>https://jicheng.tw/tcm/book/%e8%a8%b1%e6%b0%8f%e9%86%ab%e6%a1%88/index.html</v>
      </c>
    </row>
    <row r="1003" spans="1:10">
      <c r="A1003" s="10" t="s">
        <v>1999</v>
      </c>
      <c r="B1003" s="10"/>
      <c r="C1003" s="10"/>
      <c r="D1003" t="s">
        <v>2014</v>
      </c>
      <c r="E1003" t="s">
        <v>1022</v>
      </c>
      <c r="J1003" t="str">
        <f>HYPERLINK("https://jicheng.tw/tcm/book/%e8%a8%b1%e6%b0%8f%e9%86%ab%e6%a1%88%5f%31/index.html")</f>
        <v>https://jicheng.tw/tcm/book/%e8%a8%b1%e6%b0%8f%e9%86%ab%e6%a1%88%5f%31/index.html</v>
      </c>
    </row>
    <row r="1004" spans="1:10">
      <c r="A1004" s="10" t="s">
        <v>1999</v>
      </c>
      <c r="B1004" s="10"/>
      <c r="C1004" s="10"/>
      <c r="D1004" t="s">
        <v>2015</v>
      </c>
      <c r="E1004" t="s">
        <v>1023</v>
      </c>
      <c r="F1004" t="s">
        <v>3198</v>
      </c>
      <c r="G1004" s="14" t="s">
        <v>2498</v>
      </c>
      <c r="H1004" s="14">
        <v>1893</v>
      </c>
      <c r="J1004" t="str">
        <f>HYPERLINK("https://jicheng.tw/tcm/book/%e9%a6%ac%e5%9f%b9%e4%b9%8b%e9%86%ab%e6%a1%88/index.html")</f>
        <v>https://jicheng.tw/tcm/book/%e9%a6%ac%e5%9f%b9%e4%b9%8b%e9%86%ab%e6%a1%88/index.html</v>
      </c>
    </row>
    <row r="1005" spans="1:10">
      <c r="A1005" s="10" t="s">
        <v>1999</v>
      </c>
      <c r="B1005" s="10"/>
      <c r="C1005" s="10"/>
      <c r="D1005" t="s">
        <v>2016</v>
      </c>
      <c r="E1005" t="s">
        <v>1024</v>
      </c>
      <c r="F1005" t="s">
        <v>3199</v>
      </c>
      <c r="G1005" s="14" t="s">
        <v>2495</v>
      </c>
      <c r="H1005" s="14">
        <v>1573</v>
      </c>
      <c r="J1005" t="str">
        <f>HYPERLINK("https://jicheng.tw/tcm/book/%e5%ad%ab%e6%96%87%e5%9e%a3%e9%86%ab%e6%a1%88/index.html")</f>
        <v>https://jicheng.tw/tcm/book/%e5%ad%ab%e6%96%87%e5%9e%a3%e9%86%ab%e6%a1%88/index.html</v>
      </c>
    </row>
    <row r="1006" spans="1:10">
      <c r="A1006" s="10" t="s">
        <v>1999</v>
      </c>
      <c r="B1006" s="10"/>
      <c r="C1006" s="10"/>
      <c r="D1006" t="s">
        <v>2017</v>
      </c>
      <c r="E1006" t="s">
        <v>1025</v>
      </c>
      <c r="F1006" t="s">
        <v>3200</v>
      </c>
      <c r="G1006" s="14" t="s">
        <v>2498</v>
      </c>
      <c r="H1006" s="14">
        <v>1863</v>
      </c>
      <c r="J1006" t="str">
        <f>HYPERLINK("https://jicheng.tw/tcm/book/%e7%ba%8c%e5%90%8d%e9%86%ab%e9%a1%9e%e6%a1%88/index.html")</f>
        <v>https://jicheng.tw/tcm/book/%e7%ba%8c%e5%90%8d%e9%86%ab%e9%a1%9e%e6%a1%88/index.html</v>
      </c>
    </row>
    <row r="1007" spans="1:10">
      <c r="A1007" s="10" t="s">
        <v>1999</v>
      </c>
      <c r="B1007" s="10"/>
      <c r="C1007" s="10"/>
      <c r="D1007" t="s">
        <v>2018</v>
      </c>
      <c r="E1007" t="s">
        <v>1026</v>
      </c>
      <c r="F1007" t="s">
        <v>3200</v>
      </c>
      <c r="G1007" s="14" t="s">
        <v>2498</v>
      </c>
      <c r="H1007" s="14">
        <v>1770</v>
      </c>
      <c r="J1007" s="4" t="str">
        <f>HYPERLINK("https://jicheng.tw/tcm/book/%E7%BA%8C%E5%90%8D%E9%86%AB%E9%A1%9E%E6%A1%88%EF%BC%88%E5%9B%9B%E5%BA%AB%E6%9C%AC%EF%BC%89/index.html")</f>
        <v>https://jicheng.tw/tcm/book/%E7%BA%8C%E5%90%8D%E9%86%AB%E9%A1%9E%E6%A1%88%EF%BC%88%E5%9B%9B%E5%BA%AB%E6%9C%AC%EF%BC%89/index.html</v>
      </c>
    </row>
    <row r="1008" spans="1:10">
      <c r="A1008" s="10" t="s">
        <v>1999</v>
      </c>
      <c r="B1008" s="10"/>
      <c r="C1008" s="10"/>
      <c r="D1008" t="s">
        <v>2019</v>
      </c>
      <c r="E1008" t="s">
        <v>1027</v>
      </c>
      <c r="F1008" t="s">
        <v>3201</v>
      </c>
      <c r="G1008" s="14" t="s">
        <v>2498</v>
      </c>
      <c r="H1008" s="14">
        <v>1805</v>
      </c>
      <c r="J1008" t="str">
        <f>HYPERLINK("https://jicheng.tw/tcm/book/%e7%a8%8b%e6%9d%8f%e8%bb%92%e9%86%ab%e6%a1%88/index.html")</f>
        <v>https://jicheng.tw/tcm/book/%e7%a8%8b%e6%9d%8f%e8%bb%92%e9%86%ab%e6%a1%88/index.html</v>
      </c>
    </row>
    <row r="1009" spans="1:10">
      <c r="A1009" s="10" t="s">
        <v>1999</v>
      </c>
      <c r="B1009" s="10"/>
      <c r="C1009" s="10"/>
      <c r="D1009" t="s">
        <v>2020</v>
      </c>
      <c r="E1009" t="s">
        <v>1028</v>
      </c>
      <c r="F1009" t="s">
        <v>3202</v>
      </c>
      <c r="G1009" s="14" t="s">
        <v>2498</v>
      </c>
      <c r="H1009" s="14">
        <v>1831</v>
      </c>
      <c r="J1009" t="str">
        <f>HYPERLINK("https://jicheng.tw/tcm/book/%e4%b8%89%e5%ae%b6%e9%86%ab%e6%a1%88%e5%90%88%e5%88%bb/index.html")</f>
        <v>https://jicheng.tw/tcm/book/%e4%b8%89%e5%ae%b6%e9%86%ab%e6%a1%88%e5%90%88%e5%88%bb/index.html</v>
      </c>
    </row>
    <row r="1010" spans="1:10">
      <c r="A1010" s="10" t="s">
        <v>1999</v>
      </c>
      <c r="B1010" s="10"/>
      <c r="C1010" s="10"/>
      <c r="D1010" t="s">
        <v>2021</v>
      </c>
      <c r="E1010" t="s">
        <v>1029</v>
      </c>
      <c r="F1010" t="s">
        <v>3203</v>
      </c>
      <c r="G1010" s="14" t="s">
        <v>2498</v>
      </c>
      <c r="H1010" s="14">
        <v>1882</v>
      </c>
      <c r="J1010" t="str">
        <f>HYPERLINK("https://jicheng.tw/tcm/book/%e6%9f%b3%e9%81%b8%e5%9b%9b%e5%ae%b6%e9%86%ab%e6%a1%88/index.html")</f>
        <v>https://jicheng.tw/tcm/book/%e6%9f%b3%e9%81%b8%e5%9b%9b%e5%ae%b6%e9%86%ab%e6%a1%88/index.html</v>
      </c>
    </row>
    <row r="1011" spans="1:10">
      <c r="A1011" s="10" t="s">
        <v>1999</v>
      </c>
      <c r="B1011" s="10"/>
      <c r="C1011" s="10"/>
      <c r="D1011" t="s">
        <v>2022</v>
      </c>
      <c r="E1011" t="s">
        <v>1030</v>
      </c>
      <c r="F1011" t="s">
        <v>3203</v>
      </c>
      <c r="G1011" s="14" t="s">
        <v>2498</v>
      </c>
      <c r="J1011" t="str">
        <f>HYPERLINK("https://jicheng.tw/tcm/book/%e5%a2%9e%e8%a3%9c%e8%a9%95%e6%b3%a8%e6%9f%b3%e9%81%b8%e9%86%ab%e6%a1%88/index.html")</f>
        <v>https://jicheng.tw/tcm/book/%e5%a2%9e%e8%a3%9c%e8%a9%95%e6%b3%a8%e6%9f%b3%e9%81%b8%e9%86%ab%e6%a1%88/index.html</v>
      </c>
    </row>
    <row r="1012" spans="1:10">
      <c r="A1012" s="10" t="s">
        <v>1999</v>
      </c>
      <c r="B1012" s="10"/>
      <c r="C1012" s="10"/>
      <c r="D1012" t="s">
        <v>2023</v>
      </c>
      <c r="E1012" t="s">
        <v>1031</v>
      </c>
      <c r="F1012" t="s">
        <v>3204</v>
      </c>
      <c r="G1012" s="14" t="s">
        <v>2498</v>
      </c>
      <c r="H1012" s="14" t="s">
        <v>3143</v>
      </c>
      <c r="J1012" t="str">
        <f>HYPERLINK("https://jicheng.tw/tcm/book/%e7%9c%89%e5%a3%bd%e5%a0%82%e6%96%b9%e6%a1%88%e9%81%b8%e5%ad%98/index.html")</f>
        <v>https://jicheng.tw/tcm/book/%e7%9c%89%e5%a3%bd%e5%a0%82%e6%96%b9%e6%a1%88%e9%81%b8%e5%ad%98/index.html</v>
      </c>
    </row>
    <row r="1013" spans="1:10">
      <c r="A1013" s="10" t="s">
        <v>1999</v>
      </c>
      <c r="B1013" s="10"/>
      <c r="C1013" s="10"/>
      <c r="D1013" t="s">
        <v>2024</v>
      </c>
      <c r="E1013" t="s">
        <v>1032</v>
      </c>
      <c r="F1013" t="s">
        <v>3205</v>
      </c>
      <c r="G1013" s="14" t="s">
        <v>2518</v>
      </c>
      <c r="H1013" s="14">
        <v>1927</v>
      </c>
      <c r="J1013" t="str">
        <f>HYPERLINK("https://jicheng.tw/tcm/book/%e4%b8%81%e7%94%98%e4%bb%81%e9%86%ab%e6%a1%88/index.html")</f>
        <v>https://jicheng.tw/tcm/book/%e4%b8%81%e7%94%98%e4%bb%81%e9%86%ab%e6%a1%88/index.html</v>
      </c>
    </row>
    <row r="1014" spans="1:10">
      <c r="A1014" s="10" t="s">
        <v>1999</v>
      </c>
      <c r="B1014" s="10"/>
      <c r="C1014" s="10"/>
      <c r="D1014" t="s">
        <v>2025</v>
      </c>
      <c r="E1014" t="s">
        <v>1033</v>
      </c>
      <c r="F1014" t="s">
        <v>3206</v>
      </c>
      <c r="G1014" s="14" t="s">
        <v>2498</v>
      </c>
      <c r="H1014" s="14">
        <v>1815</v>
      </c>
      <c r="J1014" t="str">
        <f>HYPERLINK("https://jicheng.tw/tcm/book/%e6%9b%b9%e4%bb%81%e4%bc%af%e9%86%ab%e6%a1%88%e8%ab%96/index.html")</f>
        <v>https://jicheng.tw/tcm/book/%e6%9b%b9%e4%bb%81%e4%bc%af%e9%86%ab%e6%a1%88%e8%ab%96/index.html</v>
      </c>
    </row>
    <row r="1015" spans="1:10">
      <c r="A1015" s="10" t="s">
        <v>1999</v>
      </c>
      <c r="B1015" s="10"/>
      <c r="C1015" s="10"/>
      <c r="D1015" t="s">
        <v>2026</v>
      </c>
      <c r="E1015" t="s">
        <v>1034</v>
      </c>
      <c r="F1015" t="s">
        <v>3207</v>
      </c>
      <c r="G1015" s="14" t="s">
        <v>2498</v>
      </c>
      <c r="H1015" s="14">
        <v>1874</v>
      </c>
      <c r="J1015" t="str">
        <f>HYPERLINK("https://jicheng.tw/tcm/book/%e5%bc%b5%e7%95%b9%e9%a6%99%e9%86%ab%e6%a1%88/index.html")</f>
        <v>https://jicheng.tw/tcm/book/%e5%bc%b5%e7%95%b9%e9%a6%99%e9%86%ab%e6%a1%88/index.html</v>
      </c>
    </row>
    <row r="1016" spans="1:10">
      <c r="A1016" s="10" t="s">
        <v>1999</v>
      </c>
      <c r="B1016" s="10"/>
      <c r="C1016" s="10"/>
      <c r="D1016" t="s">
        <v>2027</v>
      </c>
      <c r="E1016" t="s">
        <v>1035</v>
      </c>
      <c r="J1016" t="str">
        <f>HYPERLINK("https://jicheng.tw/tcm/book/%e8%91%89%e5%a4%a9%e5%a3%ab%e9%86%ab%e6%a1%88%e7%b2%be%e8%8f%af/index.html")</f>
        <v>https://jicheng.tw/tcm/book/%e8%91%89%e5%a4%a9%e5%a3%ab%e9%86%ab%e6%a1%88%e7%b2%be%e8%8f%af/index.html</v>
      </c>
    </row>
    <row r="1017" spans="1:10">
      <c r="A1017" s="10" t="s">
        <v>1999</v>
      </c>
      <c r="B1017" s="10"/>
      <c r="C1017" s="10"/>
      <c r="D1017" t="s">
        <v>2028</v>
      </c>
      <c r="E1017" t="s">
        <v>1036</v>
      </c>
      <c r="F1017" t="s">
        <v>3208</v>
      </c>
      <c r="G1017" s="14" t="s">
        <v>2498</v>
      </c>
      <c r="J1017" t="str">
        <f>HYPERLINK("https://jicheng.tw/tcm/book/%e4%b9%9f%e6%98%af%e5%b1%b1%e4%ba%ba%e9%86%ab%e6%a1%88/index.html")</f>
        <v>https://jicheng.tw/tcm/book/%e4%b9%9f%e6%98%af%e5%b1%b1%e4%ba%ba%e9%86%ab%e6%a1%88/index.html</v>
      </c>
    </row>
    <row r="1018" spans="1:10">
      <c r="A1018" s="10" t="s">
        <v>1999</v>
      </c>
      <c r="B1018" s="10"/>
      <c r="C1018" s="10"/>
      <c r="D1018" t="s">
        <v>2029</v>
      </c>
      <c r="E1018" t="s">
        <v>1037</v>
      </c>
      <c r="F1018" t="s">
        <v>3209</v>
      </c>
      <c r="G1018" s="14" t="s">
        <v>2498</v>
      </c>
      <c r="H1018" s="14">
        <v>1850</v>
      </c>
      <c r="J1018" t="str">
        <f>HYPERLINK("https://jicheng.tw/tcm/book/%e8%8a%b1%e9%9f%bb%e6%a8%93%e9%86%ab%e6%a1%88/index.html")</f>
        <v>https://jicheng.tw/tcm/book/%e8%8a%b1%e9%9f%bb%e6%a8%93%e9%86%ab%e6%a1%88/index.html</v>
      </c>
    </row>
    <row r="1019" spans="1:10">
      <c r="A1019" s="10" t="s">
        <v>1999</v>
      </c>
      <c r="B1019" s="10"/>
      <c r="C1019" s="10"/>
      <c r="D1019" t="s">
        <v>2030</v>
      </c>
      <c r="E1019" t="s">
        <v>1038</v>
      </c>
      <c r="F1019" t="s">
        <v>3210</v>
      </c>
      <c r="G1019" s="14" t="s">
        <v>2498</v>
      </c>
      <c r="H1019" s="14">
        <v>1897</v>
      </c>
      <c r="J1019" t="str">
        <f>HYPERLINK("https://jicheng.tw/tcm/book/%e8%a8%ba%e9%a4%98%e8%88%89%e9%9a%85%e9%8c%84/index.html")</f>
        <v>https://jicheng.tw/tcm/book/%e8%a8%ba%e9%a4%98%e8%88%89%e9%9a%85%e9%8c%84/index.html</v>
      </c>
    </row>
    <row r="1020" spans="1:10">
      <c r="A1020" s="10" t="s">
        <v>1999</v>
      </c>
      <c r="B1020" s="10"/>
      <c r="C1020" s="10"/>
      <c r="D1020" t="s">
        <v>2031</v>
      </c>
      <c r="E1020" t="s">
        <v>1039</v>
      </c>
      <c r="F1020" t="s">
        <v>3211</v>
      </c>
      <c r="G1020" s="14" t="s">
        <v>2498</v>
      </c>
      <c r="H1020" s="14">
        <v>1721</v>
      </c>
      <c r="J1020" t="str">
        <f>HYPERLINK("https://jicheng.tw/tcm/book/%e9%86%ab%e6%ac%8a%e5%88%9d%e7%b7%a8/index.html")</f>
        <v>https://jicheng.tw/tcm/book/%e9%86%ab%e6%ac%8a%e5%88%9d%e7%b7%a8/index.html</v>
      </c>
    </row>
    <row r="1021" spans="1:10">
      <c r="A1021" s="10" t="s">
        <v>1999</v>
      </c>
      <c r="B1021" s="10"/>
      <c r="C1021" s="10"/>
      <c r="D1021" t="s">
        <v>2032</v>
      </c>
      <c r="E1021" t="s">
        <v>1040</v>
      </c>
      <c r="F1021" t="s">
        <v>3212</v>
      </c>
      <c r="G1021" s="14" t="s">
        <v>2498</v>
      </c>
      <c r="H1021" s="14">
        <v>1707</v>
      </c>
      <c r="J1021" t="str">
        <f>HYPERLINK("https://jicheng.tw/tcm/book/%e7%b4%a0%e5%9c%83%e9%86%ab%e6%a1%88/index.html")</f>
        <v>https://jicheng.tw/tcm/book/%e7%b4%a0%e5%9c%83%e9%86%ab%e6%a1%88/index.html</v>
      </c>
    </row>
    <row r="1022" spans="1:10">
      <c r="A1022" s="10" t="s">
        <v>1999</v>
      </c>
      <c r="B1022" s="10"/>
      <c r="C1022" s="10"/>
      <c r="D1022" t="s">
        <v>2033</v>
      </c>
      <c r="E1022" t="s">
        <v>1041</v>
      </c>
      <c r="F1022" t="s">
        <v>3213</v>
      </c>
      <c r="G1022" s="14" t="s">
        <v>2498</v>
      </c>
      <c r="H1022" s="14">
        <v>1730</v>
      </c>
      <c r="J1022" t="str">
        <f>HYPERLINK("https://jicheng.tw/tcm/book/%e6%b2%88%e6%b0%8f%e9%86%ab%e6%a1%88/index.html")</f>
        <v>https://jicheng.tw/tcm/book/%e6%b2%88%e6%b0%8f%e9%86%ab%e6%a1%88/index.html</v>
      </c>
    </row>
    <row r="1023" spans="1:10">
      <c r="A1023" s="10" t="s">
        <v>1999</v>
      </c>
      <c r="B1023" s="10"/>
      <c r="C1023" s="10"/>
      <c r="D1023" t="s">
        <v>2034</v>
      </c>
      <c r="E1023" t="s">
        <v>1042</v>
      </c>
      <c r="F1023" t="s">
        <v>3214</v>
      </c>
      <c r="G1023" s="14" t="s">
        <v>2498</v>
      </c>
      <c r="J1023" t="str">
        <f>HYPERLINK("https://jicheng.tw/tcm/book/%e9%82%b5%e6%b0%8f%e9%86%ab%e6%a1%88/index.html")</f>
        <v>https://jicheng.tw/tcm/book/%e9%82%b5%e6%b0%8f%e9%86%ab%e6%a1%88/index.html</v>
      </c>
    </row>
    <row r="1024" spans="1:10">
      <c r="A1024" s="10" t="s">
        <v>1999</v>
      </c>
      <c r="B1024" s="10"/>
      <c r="C1024" s="10"/>
      <c r="D1024" t="s">
        <v>2035</v>
      </c>
      <c r="E1024" t="s">
        <v>1043</v>
      </c>
      <c r="F1024" t="s">
        <v>3215</v>
      </c>
      <c r="G1024" s="14" t="s">
        <v>2498</v>
      </c>
      <c r="H1024" s="14">
        <v>1764</v>
      </c>
      <c r="J1024" t="str">
        <f>HYPERLINK("https://jicheng.tw/tcm/book/%e6%8e%83%e8%91%89%e8%8e%8a%e9%86%ab%e6%a1%88/index.html")</f>
        <v>https://jicheng.tw/tcm/book/%e6%8e%83%e8%91%89%e8%8e%8a%e9%86%ab%e6%a1%88/index.html</v>
      </c>
    </row>
    <row r="1025" spans="1:10">
      <c r="A1025" s="10" t="s">
        <v>1999</v>
      </c>
      <c r="B1025" s="10"/>
      <c r="C1025" s="10"/>
      <c r="D1025" t="s">
        <v>2036</v>
      </c>
      <c r="E1025" t="s">
        <v>1044</v>
      </c>
      <c r="F1025" t="s">
        <v>3216</v>
      </c>
      <c r="G1025" s="14" t="s">
        <v>2498</v>
      </c>
      <c r="H1025" s="14">
        <v>1892</v>
      </c>
      <c r="J1025" t="str">
        <f>HYPERLINK("https://jicheng.tw/tcm/book/%e9%9d%92%e9%9c%9e%e9%86%ab%e6%a1%88/index.html")</f>
        <v>https://jicheng.tw/tcm/book/%e9%9d%92%e9%9c%9e%e9%86%ab%e6%a1%88/index.html</v>
      </c>
    </row>
    <row r="1026" spans="1:10">
      <c r="A1026" s="10" t="s">
        <v>1999</v>
      </c>
      <c r="B1026" s="10"/>
      <c r="C1026" s="10"/>
      <c r="D1026" t="s">
        <v>2037</v>
      </c>
      <c r="E1026" t="s">
        <v>1045</v>
      </c>
      <c r="F1026" t="s">
        <v>3217</v>
      </c>
      <c r="G1026" s="14" t="s">
        <v>2498</v>
      </c>
      <c r="H1026" s="14">
        <v>1889</v>
      </c>
      <c r="J1026" t="str">
        <f>HYPERLINK("https://jicheng.tw/tcm/book/%e9%be%8d%e7%a0%82%e5%85%ab%e5%ae%b6%e9%86%ab%e6%a1%88/index.html")</f>
        <v>https://jicheng.tw/tcm/book/%e9%be%8d%e7%a0%82%e5%85%ab%e5%ae%b6%e9%86%ab%e6%a1%88/index.html</v>
      </c>
    </row>
    <row r="1027" spans="1:10">
      <c r="A1027" s="10" t="s">
        <v>1999</v>
      </c>
      <c r="B1027" s="10"/>
      <c r="C1027" s="10"/>
      <c r="D1027" t="s">
        <v>2038</v>
      </c>
      <c r="E1027" t="s">
        <v>1046</v>
      </c>
      <c r="F1027" t="s">
        <v>3218</v>
      </c>
      <c r="G1027" s="14" t="s">
        <v>2498</v>
      </c>
      <c r="J1027" t="str">
        <f>HYPERLINK("https://jicheng.tw/tcm/book/%e9%bb%83%e6%be%b9%e7%bf%81%e9%86%ab%e6%a1%88/index.html")</f>
        <v>https://jicheng.tw/tcm/book/%e9%bb%83%e6%be%b9%e7%bf%81%e9%86%ab%e6%a1%88/index.html</v>
      </c>
    </row>
    <row r="1028" spans="1:10">
      <c r="A1028" s="10" t="s">
        <v>1999</v>
      </c>
      <c r="B1028" s="10"/>
      <c r="C1028" s="10"/>
      <c r="D1028" t="s">
        <v>2039</v>
      </c>
      <c r="E1028" t="s">
        <v>1047</v>
      </c>
      <c r="J1028" t="str">
        <f>HYPERLINK("https://jicheng.tw/tcm/book/%e7%92%b0%e6%ba%aa%e8%8d%89%e5%a0%82%e9%86%ab%e6%a1%88/index.html")</f>
        <v>https://jicheng.tw/tcm/book/%e7%92%b0%e6%ba%aa%e8%8d%89%e5%a0%82%e9%86%ab%e6%a1%88/index.html</v>
      </c>
    </row>
    <row r="1029" spans="1:10">
      <c r="A1029" s="10" t="s">
        <v>1999</v>
      </c>
      <c r="B1029" s="10"/>
      <c r="C1029" s="10"/>
      <c r="D1029" t="s">
        <v>2040</v>
      </c>
      <c r="E1029" t="s">
        <v>1048</v>
      </c>
      <c r="F1029" t="s">
        <v>3219</v>
      </c>
      <c r="G1029" s="14" t="s">
        <v>2498</v>
      </c>
      <c r="H1029" s="14">
        <v>1861</v>
      </c>
      <c r="J1029" t="str">
        <f>HYPERLINK("https://jicheng.tw/tcm/book/%e5%be%97%e5%bf%83%e9%9b%86%e9%86%ab%e6%a1%88/index.html")</f>
        <v>https://jicheng.tw/tcm/book/%e5%be%97%e5%bf%83%e9%9b%86%e9%86%ab%e6%a1%88/index.html</v>
      </c>
    </row>
    <row r="1030" spans="1:10">
      <c r="A1030" s="10" t="s">
        <v>1999</v>
      </c>
      <c r="B1030" s="10"/>
      <c r="C1030" s="10"/>
      <c r="D1030" t="s">
        <v>2041</v>
      </c>
      <c r="E1030" t="s">
        <v>1049</v>
      </c>
      <c r="F1030" t="s">
        <v>3220</v>
      </c>
      <c r="G1030" s="14" t="s">
        <v>2498</v>
      </c>
      <c r="H1030" s="14">
        <v>1892</v>
      </c>
      <c r="J1030" t="str">
        <f>HYPERLINK("https://jicheng.tw/tcm/book/%e9%84%92%e4%ba%a6%e4%bb%b2%e9%86%ab%e6%a1%88%e6%96%b0%e7%b7%a8/index.html")</f>
        <v>https://jicheng.tw/tcm/book/%e9%84%92%e4%ba%a6%e4%bb%b2%e9%86%ab%e6%a1%88%e6%96%b0%e7%b7%a8/index.html</v>
      </c>
    </row>
    <row r="1031" spans="1:10">
      <c r="A1031" s="10" t="s">
        <v>1999</v>
      </c>
      <c r="B1031" s="10"/>
      <c r="C1031" s="10"/>
      <c r="D1031" t="s">
        <v>1050</v>
      </c>
      <c r="E1031" t="s">
        <v>1050</v>
      </c>
      <c r="J1031" t="str">
        <f>HYPERLINK("https://jicheng.tw/tcm/book/%e9%99%b3%e8%8e%98%e7%94%b0%e5%a4%96%e7%a7%91%e6%96%b9%e6%a1%88/index.html")</f>
        <v>https://jicheng.tw/tcm/book/%e9%99%b3%e8%8e%98%e7%94%b0%e5%a4%96%e7%a7%91%e6%96%b9%e6%a1%88/index.html</v>
      </c>
    </row>
    <row r="1032" spans="1:10">
      <c r="A1032" s="10" t="s">
        <v>1999</v>
      </c>
      <c r="B1032" s="10"/>
      <c r="C1032" s="10"/>
      <c r="D1032" t="s">
        <v>2042</v>
      </c>
      <c r="E1032" t="s">
        <v>1051</v>
      </c>
      <c r="J1032" t="str">
        <f>HYPERLINK("https://jicheng.tw/tcm/book/%e7%98%8d%e7%a7%91%e6%8c%87%e5%8d%97%e9%86%ab%e6%a1%88/index.html")</f>
        <v>https://jicheng.tw/tcm/book/%e7%98%8d%e7%a7%91%e6%8c%87%e5%8d%97%e9%86%ab%e6%a1%88/index.html</v>
      </c>
    </row>
    <row r="1033" spans="1:10">
      <c r="A1033" s="10" t="s">
        <v>1999</v>
      </c>
      <c r="B1033" s="10"/>
      <c r="C1033" s="10"/>
      <c r="D1033" t="s">
        <v>2043</v>
      </c>
      <c r="E1033" t="s">
        <v>1052</v>
      </c>
      <c r="J1033" t="str">
        <f>HYPERLINK("https://jicheng.tw/tcm/book/%e6%84%9b%e6%9c%88%e5%bb%ac%e9%86%ab%e6%a1%88/index.html")</f>
        <v>https://jicheng.tw/tcm/book/%e6%84%9b%e6%9c%88%e5%bb%ac%e9%86%ab%e6%a1%88/index.html</v>
      </c>
    </row>
    <row r="1034" spans="1:10">
      <c r="A1034" s="10" t="s">
        <v>1999</v>
      </c>
      <c r="B1034" s="10"/>
      <c r="C1034" s="10"/>
      <c r="D1034" t="s">
        <v>2044</v>
      </c>
      <c r="E1034" t="s">
        <v>1053</v>
      </c>
      <c r="J1034" t="str">
        <f>HYPERLINK("https://jicheng.tw/tcm/book/%e7%ab%b9%e4%ba%ad%e9%86%ab%e6%a1%88/index.html")</f>
        <v>https://jicheng.tw/tcm/book/%e7%ab%b9%e4%ba%ad%e9%86%ab%e6%a1%88/index.html</v>
      </c>
    </row>
    <row r="1035" spans="1:10">
      <c r="A1035" s="10" t="s">
        <v>1999</v>
      </c>
      <c r="B1035" s="10"/>
      <c r="C1035" s="10"/>
      <c r="D1035" t="s">
        <v>2045</v>
      </c>
      <c r="E1035" t="s">
        <v>1054</v>
      </c>
      <c r="J1035" t="str">
        <f>HYPERLINK("https://jicheng.tw/tcm/book/%e5%8a%8d%e6%85%a7%e8%8d%89%e5%a0%82%e9%86%ab%e6%a1%88/index.html")</f>
        <v>https://jicheng.tw/tcm/book/%e5%8a%8d%e6%85%a7%e8%8d%89%e5%a0%82%e9%86%ab%e6%a1%88/index.html</v>
      </c>
    </row>
    <row r="1036" spans="1:10">
      <c r="A1036" s="10" t="s">
        <v>1999</v>
      </c>
      <c r="B1036" s="10"/>
      <c r="C1036" s="10"/>
      <c r="D1036" t="s">
        <v>2046</v>
      </c>
      <c r="E1036" t="s">
        <v>1055</v>
      </c>
      <c r="J1036" t="str">
        <f>HYPERLINK("https://jicheng.tw/tcm/book/%e5%ad%a4%e9%b6%b4%e9%86%ab%e6%a1%88/index.html")</f>
        <v>https://jicheng.tw/tcm/book/%e5%ad%a4%e9%b6%b4%e9%86%ab%e6%a1%88/index.html</v>
      </c>
    </row>
    <row r="1037" spans="1:10">
      <c r="A1037" s="10" t="s">
        <v>1999</v>
      </c>
      <c r="B1037" s="10"/>
      <c r="C1037" s="10"/>
      <c r="D1037" t="s">
        <v>2047</v>
      </c>
      <c r="E1037" t="s">
        <v>1056</v>
      </c>
      <c r="F1037" t="s">
        <v>3221</v>
      </c>
      <c r="G1037" s="14" t="s">
        <v>2495</v>
      </c>
      <c r="J1037" t="str">
        <f>HYPERLINK("https://jicheng.tw/tcm/book/%e5%b9%bc%e7%a7%91%e9%86%ab%e9%a9%97/index.html")</f>
        <v>https://jicheng.tw/tcm/book/%e5%b9%bc%e7%a7%91%e9%86%ab%e9%a9%97/index.html</v>
      </c>
    </row>
    <row r="1038" spans="1:10">
      <c r="A1038" s="10" t="s">
        <v>1999</v>
      </c>
      <c r="B1038" s="10"/>
      <c r="C1038" s="10"/>
      <c r="D1038" t="s">
        <v>2048</v>
      </c>
      <c r="E1038" t="s">
        <v>1057</v>
      </c>
      <c r="J1038" t="str">
        <f>HYPERLINK("https://jicheng.tw/tcm/book/%e9%a1%a7%e6%b0%8f%e9%86%ab%e6%a1%88/index.html")</f>
        <v>https://jicheng.tw/tcm/book/%e9%a1%a7%e6%b0%8f%e9%86%ab%e6%a1%88/index.html</v>
      </c>
    </row>
    <row r="1039" spans="1:10">
      <c r="A1039" s="10" t="s">
        <v>1999</v>
      </c>
      <c r="B1039" s="10"/>
      <c r="C1039" s="10"/>
      <c r="D1039" t="s">
        <v>2049</v>
      </c>
      <c r="E1039" t="s">
        <v>1058</v>
      </c>
      <c r="J1039" t="str">
        <f>HYPERLINK("https://jicheng.tw/tcm/book/%e8%b2%bb%e7%b9%a9%e7%94%ab%e5%85%88%e7%94%9f%e9%86%ab%e6%a1%88/index.html")</f>
        <v>https://jicheng.tw/tcm/book/%e8%b2%bb%e7%b9%a9%e7%94%ab%e5%85%88%e7%94%9f%e9%86%ab%e6%a1%88/index.html</v>
      </c>
    </row>
    <row r="1040" spans="1:10">
      <c r="A1040" s="10" t="s">
        <v>1999</v>
      </c>
      <c r="B1040" s="10"/>
      <c r="C1040" s="10"/>
      <c r="D1040" t="s">
        <v>2050</v>
      </c>
      <c r="E1040" t="s">
        <v>1059</v>
      </c>
      <c r="J1040" t="str">
        <f>HYPERLINK("https://jicheng.tw/tcm/book/%e6%b2%88%e4%bf%9e%e9%86%ab%e6%a1%88%e5%90%88%e9%88%94/index.html")</f>
        <v>https://jicheng.tw/tcm/book/%e6%b2%88%e4%bf%9e%e9%86%ab%e6%a1%88%e5%90%88%e9%88%94/index.html</v>
      </c>
    </row>
    <row r="1041" spans="1:10">
      <c r="A1041" s="10" t="s">
        <v>1999</v>
      </c>
      <c r="B1041" s="10"/>
      <c r="C1041" s="10"/>
      <c r="D1041" t="s">
        <v>2051</v>
      </c>
      <c r="E1041" t="s">
        <v>1060</v>
      </c>
      <c r="J1041" t="str">
        <f>HYPERLINK("https://jicheng.tw/tcm/book/%e9%99%b3%e8%93%ae%e8%88%ab%e9%86%ab%e6%a1%88/index.html")</f>
        <v>https://jicheng.tw/tcm/book/%e9%99%b3%e8%93%ae%e8%88%ab%e9%86%ab%e6%a1%88/index.html</v>
      </c>
    </row>
    <row r="1042" spans="1:10">
      <c r="A1042" s="10" t="s">
        <v>1999</v>
      </c>
      <c r="B1042" s="10"/>
      <c r="C1042" s="10"/>
      <c r="D1042" t="s">
        <v>2052</v>
      </c>
      <c r="E1042" t="s">
        <v>1061</v>
      </c>
      <c r="J1042" t="str">
        <f>HYPERLINK("https://jicheng.tw/tcm/book/%e9%80%80%e5%ba%b5%e9%86%ab%e6%a1%88/index.html")</f>
        <v>https://jicheng.tw/tcm/book/%e9%80%80%e5%ba%b5%e9%86%ab%e6%a1%88/index.html</v>
      </c>
    </row>
    <row r="1043" spans="1:10">
      <c r="A1043" s="10" t="s">
        <v>1999</v>
      </c>
      <c r="B1043" s="10"/>
      <c r="C1043" s="10"/>
      <c r="D1043" t="s">
        <v>2053</v>
      </c>
      <c r="E1043" t="s">
        <v>1062</v>
      </c>
      <c r="J1043" t="str">
        <f>HYPERLINK("https://jicheng.tw/tcm/book/%e6%97%8c%e5%ad%9d%e5%a0%82%e9%86%ab%e6%a1%88/index.html")</f>
        <v>https://jicheng.tw/tcm/book/%e6%97%8c%e5%ad%9d%e5%a0%82%e9%86%ab%e6%a1%88/index.html</v>
      </c>
    </row>
    <row r="1044" spans="1:10">
      <c r="A1044" s="10" t="s">
        <v>1999</v>
      </c>
      <c r="B1044" s="10"/>
      <c r="C1044" s="10"/>
      <c r="D1044" t="s">
        <v>2054</v>
      </c>
      <c r="E1044" t="s">
        <v>1063</v>
      </c>
      <c r="J1044" t="str">
        <f>HYPERLINK("https://jicheng.tw/tcm/book/%e6%b1%9f%e6%be%a4%e4%b9%8b%e9%86%ab%e6%a1%88/index.html")</f>
        <v>https://jicheng.tw/tcm/book/%e6%b1%9f%e6%be%a4%e4%b9%8b%e9%86%ab%e6%a1%88/index.html</v>
      </c>
    </row>
    <row r="1045" spans="1:10">
      <c r="A1045" s="10" t="s">
        <v>1999</v>
      </c>
      <c r="B1045" s="10"/>
      <c r="C1045" s="10"/>
      <c r="D1045" t="s">
        <v>2055</v>
      </c>
      <c r="E1045" t="s">
        <v>1064</v>
      </c>
      <c r="J1045" t="str">
        <f>HYPERLINK("https://jicheng.tw/tcm/book/%e7%8e%8b%e6%87%89%e9%9c%87%e8%a6%81%e8%a8%a3/index.html")</f>
        <v>https://jicheng.tw/tcm/book/%e7%8e%8b%e6%87%89%e9%9c%87%e8%a6%81%e8%a8%a3/index.html</v>
      </c>
    </row>
    <row r="1046" spans="1:10">
      <c r="A1046" s="10" t="s">
        <v>1999</v>
      </c>
      <c r="B1046" s="10"/>
      <c r="C1046" s="10"/>
      <c r="D1046" t="s">
        <v>1065</v>
      </c>
      <c r="E1046" t="s">
        <v>1065</v>
      </c>
      <c r="J1046" t="str">
        <f>HYPERLINK("https://jicheng.tw/tcm/book/%e9%82%b5%e6%b0%8f%e6%96%b9%e6%a1%88/index.html")</f>
        <v>https://jicheng.tw/tcm/book/%e9%82%b5%e6%b0%8f%e6%96%b9%e6%a1%88/index.html</v>
      </c>
    </row>
    <row r="1047" spans="1:10">
      <c r="A1047" s="10" t="s">
        <v>1999</v>
      </c>
      <c r="B1047" s="10"/>
      <c r="C1047" s="10"/>
      <c r="D1047" t="s">
        <v>2056</v>
      </c>
      <c r="E1047" t="s">
        <v>1066</v>
      </c>
      <c r="J1047" t="str">
        <f>HYPERLINK("https://jicheng.tw/tcm/book/%e8%87%a8%e7%97%87%e7%b6%93%e6%87%89%e9%8c%84/index.html")</f>
        <v>https://jicheng.tw/tcm/book/%e8%87%a8%e7%97%87%e7%b6%93%e6%87%89%e9%8c%84/index.html</v>
      </c>
    </row>
    <row r="1048" spans="1:10">
      <c r="A1048" s="10" t="s">
        <v>1999</v>
      </c>
      <c r="B1048" s="10"/>
      <c r="C1048" s="10"/>
      <c r="D1048" t="s">
        <v>2057</v>
      </c>
      <c r="E1048" t="s">
        <v>1067</v>
      </c>
      <c r="J1048" t="str">
        <f>HYPERLINK("https://jicheng.tw/tcm/book/%e7%8e%8b%e4%bb%b2%e5%a5%87%e9%86%ab%e6%a1%88/index.html")</f>
        <v>https://jicheng.tw/tcm/book/%e7%8e%8b%e4%bb%b2%e5%a5%87%e9%86%ab%e6%a1%88/index.html</v>
      </c>
    </row>
    <row r="1049" spans="1:10">
      <c r="A1049" s="10" t="s">
        <v>1999</v>
      </c>
      <c r="B1049" s="10"/>
      <c r="C1049" s="10"/>
      <c r="D1049" t="s">
        <v>2058</v>
      </c>
      <c r="E1049" t="s">
        <v>1068</v>
      </c>
      <c r="J1049" t="str">
        <f>HYPERLINK("https://jicheng.tw/tcm/book/%e6%9d%8e%e5%86%a0%e4%bb%99%e9%86%ab%e6%a1%88/index.html")</f>
        <v>https://jicheng.tw/tcm/book/%e6%9d%8e%e5%86%a0%e4%bb%99%e9%86%ab%e6%a1%88/index.html</v>
      </c>
    </row>
    <row r="1050" spans="1:10">
      <c r="A1050" s="10" t="s">
        <v>1999</v>
      </c>
      <c r="B1050" s="10"/>
      <c r="C1050" s="10"/>
      <c r="D1050" t="s">
        <v>2059</v>
      </c>
      <c r="E1050" t="s">
        <v>1069</v>
      </c>
      <c r="J1050" t="str">
        <f>HYPERLINK("https://jicheng.tw/tcm/book/%e6%b2%88%e8%8f%8a%e4%ba%ba%e9%86%ab%e6%a1%88/index.html")</f>
        <v>https://jicheng.tw/tcm/book/%e6%b2%88%e8%8f%8a%e4%ba%ba%e9%86%ab%e6%a1%88/index.html</v>
      </c>
    </row>
    <row r="1051" spans="1:10">
      <c r="A1051" s="10" t="s">
        <v>1999</v>
      </c>
      <c r="B1051" s="10"/>
      <c r="C1051" s="10"/>
      <c r="D1051" t="s">
        <v>1070</v>
      </c>
      <c r="E1051" t="s">
        <v>1070</v>
      </c>
      <c r="J1051" t="str">
        <f>HYPERLINK("https://jicheng.tw/tcm/book/%e8%b2%ab%e5%94%af%e9%9b%86/index.html")</f>
        <v>https://jicheng.tw/tcm/book/%e8%b2%ab%e5%94%af%e9%9b%86/index.html</v>
      </c>
    </row>
    <row r="1052" spans="1:10">
      <c r="A1052" s="10" t="s">
        <v>1999</v>
      </c>
      <c r="B1052" s="10"/>
      <c r="C1052" s="10"/>
      <c r="D1052" t="s">
        <v>2060</v>
      </c>
      <c r="E1052" t="s">
        <v>1071</v>
      </c>
      <c r="J1052" t="str">
        <f>HYPERLINK("https://jicheng.tw/tcm/book/%e8%91%89%e5%a4%a9%e5%a3%ab%e6%9b%b9%e4%bb%81%e4%bc%af%e4%bd%95%e5%85%83%e9%95%b7%e9%86%ab%e6%a1%88/index.html")</f>
        <v>https://jicheng.tw/tcm/book/%e8%91%89%e5%a4%a9%e5%a3%ab%e6%9b%b9%e4%bb%81%e4%bc%af%e4%bd%95%e5%85%83%e9%95%b7%e9%86%ab%e6%a1%88/index.html</v>
      </c>
    </row>
    <row r="1053" spans="1:10">
      <c r="A1053" s="10" t="s">
        <v>1999</v>
      </c>
      <c r="B1053" s="10"/>
      <c r="C1053" s="10"/>
      <c r="D1053" t="s">
        <v>2061</v>
      </c>
      <c r="E1053" t="s">
        <v>1072</v>
      </c>
      <c r="J1053" t="str">
        <f>HYPERLINK("https://jicheng.tw/tcm/book/%e8%87%a8%e8%a8%ba%e9%86%ab%e6%a1%88/index.html")</f>
        <v>https://jicheng.tw/tcm/book/%e8%87%a8%e8%a8%ba%e9%86%ab%e6%a1%88/index.html</v>
      </c>
    </row>
    <row r="1054" spans="1:10">
      <c r="A1054" s="10" t="s">
        <v>1999</v>
      </c>
      <c r="B1054" s="10"/>
      <c r="C1054" s="10"/>
      <c r="D1054" t="s">
        <v>2062</v>
      </c>
      <c r="E1054" t="s">
        <v>1073</v>
      </c>
      <c r="J1054" t="str">
        <f>HYPERLINK("https://jicheng.tw/tcm/book/%e6%b1%aa%e8%97%9d%e9%a6%99%e5%85%88%e7%94%9f%e9%86%ab%e6%a1%88/index.html")</f>
        <v>https://jicheng.tw/tcm/book/%e6%b1%aa%e8%97%9d%e9%a6%99%e5%85%88%e7%94%9f%e9%86%ab%e6%a1%88/index.html</v>
      </c>
    </row>
    <row r="1055" spans="1:10">
      <c r="A1055" s="10" t="s">
        <v>1999</v>
      </c>
      <c r="B1055" s="10"/>
      <c r="C1055" s="10"/>
      <c r="D1055" t="s">
        <v>1074</v>
      </c>
      <c r="E1055" t="s">
        <v>1074</v>
      </c>
      <c r="J1055" t="str">
        <f>HYPERLINK("https://jicheng.tw/tcm/book/%e5%be%90%e9%a4%8a%e6%81%ac%e6%96%b9%e6%a1%88/index.html")</f>
        <v>https://jicheng.tw/tcm/book/%e5%be%90%e9%a4%8a%e6%81%ac%e6%96%b9%e6%a1%88/index.html</v>
      </c>
    </row>
    <row r="1056" spans="1:10">
      <c r="A1056" s="10" t="s">
        <v>1999</v>
      </c>
      <c r="B1056" s="10"/>
      <c r="C1056" s="10"/>
      <c r="D1056" t="s">
        <v>2063</v>
      </c>
      <c r="E1056" t="s">
        <v>1075</v>
      </c>
      <c r="J1056" t="str">
        <f>HYPERLINK("https://jicheng.tw/tcm/book/%e6%85%8e%e4%ba%94%e5%a0%82%e6%b2%bb%e9%a9%97%e9%8c%84/index.html")</f>
        <v>https://jicheng.tw/tcm/book/%e6%85%8e%e4%ba%94%e5%a0%82%e6%b2%bb%e9%a9%97%e9%8c%84/index.html</v>
      </c>
    </row>
    <row r="1057" spans="1:10">
      <c r="A1057" s="10" t="s">
        <v>1999</v>
      </c>
      <c r="B1057" s="10"/>
      <c r="C1057" s="10"/>
      <c r="D1057" t="s">
        <v>2064</v>
      </c>
      <c r="E1057" t="s">
        <v>1076</v>
      </c>
      <c r="J1057" t="str">
        <f>HYPERLINK("https://jicheng.tw/tcm/book/%e9%81%af%e5%9c%92%e9%86%ab%e6%a1%88/index.html")</f>
        <v>https://jicheng.tw/tcm/book/%e9%81%af%e5%9c%92%e9%86%ab%e6%a1%88/index.html</v>
      </c>
    </row>
    <row r="1058" spans="1:10">
      <c r="A1058" s="10" t="s">
        <v>1999</v>
      </c>
      <c r="B1058" s="10"/>
      <c r="C1058" s="10"/>
      <c r="D1058" t="s">
        <v>2065</v>
      </c>
      <c r="E1058" t="s">
        <v>1077</v>
      </c>
      <c r="J1058" t="str">
        <f>HYPERLINK("https://jicheng.tw/tcm/book/%e6%9b%b9%e4%bb%81%e4%bc%af%e9%86%ab%e6%a1%88/index.html")</f>
        <v>https://jicheng.tw/tcm/book/%e6%9b%b9%e4%bb%81%e4%bc%af%e9%86%ab%e6%a1%88/index.html</v>
      </c>
    </row>
    <row r="1059" spans="1:10">
      <c r="A1059" s="10" t="s">
        <v>1999</v>
      </c>
      <c r="B1059" s="10"/>
      <c r="C1059" s="10"/>
      <c r="D1059" t="s">
        <v>2066</v>
      </c>
      <c r="E1059" t="s">
        <v>1078</v>
      </c>
      <c r="F1059" t="s">
        <v>3222</v>
      </c>
      <c r="G1059" s="14" t="s">
        <v>2498</v>
      </c>
      <c r="J1059" t="str">
        <f>HYPERLINK("https://jicheng.tw/tcm/book/%e7%b6%93%e6%96%b9%e5%af%a6%e9%a9%97%e9%8c%84%20%2a%2a%2a/index.html")</f>
        <v>https://jicheng.tw/tcm/book/%e7%b6%93%e6%96%b9%e5%af%a6%e9%a9%97%e9%8c%84%20%2a%2a%2a/index.html</v>
      </c>
    </row>
    <row r="1060" spans="1:10">
      <c r="A1060" s="10" t="s">
        <v>1999</v>
      </c>
      <c r="B1060" s="10"/>
      <c r="C1060" s="10"/>
      <c r="D1060" t="s">
        <v>2067</v>
      </c>
      <c r="E1060" t="s">
        <v>1079</v>
      </c>
      <c r="F1060" t="s">
        <v>3223</v>
      </c>
      <c r="G1060" s="14" t="s">
        <v>2498</v>
      </c>
      <c r="H1060" s="14">
        <v>1778</v>
      </c>
      <c r="J1060" t="str">
        <f>HYPERLINK("https://jicheng.tw/tcm/book/%e5%8f%a4%e4%bb%8a%e9%86%ab%e6%a1%88%e6%8c%89/index.html")</f>
        <v>https://jicheng.tw/tcm/book/%e5%8f%a4%e4%bb%8a%e9%86%ab%e6%a1%88%e6%8c%89/index.html</v>
      </c>
    </row>
    <row r="1061" spans="1:10">
      <c r="A1061" s="10" t="s">
        <v>1999</v>
      </c>
      <c r="B1061" s="10"/>
      <c r="C1061" s="10"/>
      <c r="D1061" t="s">
        <v>2068</v>
      </c>
      <c r="E1061" t="s">
        <v>1080</v>
      </c>
      <c r="F1061" t="s">
        <v>3224</v>
      </c>
      <c r="G1061" s="14" t="s">
        <v>2498</v>
      </c>
      <c r="H1061" s="14">
        <v>1853</v>
      </c>
      <c r="J1061" t="str">
        <f>HYPERLINK("https://jicheng.tw/tcm/book/%e5%8f%a4%e4%bb%8a%e9%86%ab%e6%a1%88%e6%8c%89%e9%81%b8/index.html")</f>
        <v>https://jicheng.tw/tcm/book/%e5%8f%a4%e4%bb%8a%e9%86%ab%e6%a1%88%e6%8c%89%e9%81%b8/index.html</v>
      </c>
    </row>
    <row r="1062" spans="1:10">
      <c r="A1062" s="10" t="s">
        <v>1999</v>
      </c>
      <c r="B1062" s="10"/>
      <c r="C1062" s="10"/>
      <c r="D1062" t="s">
        <v>2069</v>
      </c>
      <c r="E1062" t="s">
        <v>1081</v>
      </c>
      <c r="J1062" t="str">
        <f>HYPERLINK("https://jicheng.tw/tcm/book/%e7%b9%86%e6%9d%be%e5%bf%83%e9%86%ab%e6%a1%88/index.html")</f>
        <v>https://jicheng.tw/tcm/book/%e7%b9%86%e6%9d%be%e5%bf%83%e9%86%ab%e6%a1%88/index.html</v>
      </c>
    </row>
    <row r="1063" spans="1:10">
      <c r="A1063" s="10" t="s">
        <v>1999</v>
      </c>
      <c r="B1063" s="10"/>
      <c r="C1063" s="10"/>
      <c r="D1063" t="s">
        <v>2070</v>
      </c>
      <c r="E1063" t="s">
        <v>1082</v>
      </c>
      <c r="F1063" t="s">
        <v>3225</v>
      </c>
      <c r="G1063" s="14" t="s">
        <v>2498</v>
      </c>
      <c r="H1063" s="14">
        <v>1806</v>
      </c>
      <c r="J1063" t="str">
        <f>HYPERLINK("https://jicheng.tw/tcm/book/%e9%bd%8a%e6%b0%8f%e9%86%ab%e6%a1%88/index.html")</f>
        <v>https://jicheng.tw/tcm/book/%e9%bd%8a%e6%b0%8f%e9%86%ab%e6%a1%88/index.html</v>
      </c>
    </row>
    <row r="1064" spans="1:10">
      <c r="A1064" s="10" t="s">
        <v>1999</v>
      </c>
      <c r="B1064" s="10"/>
      <c r="C1064" s="10"/>
      <c r="D1064" t="s">
        <v>2071</v>
      </c>
      <c r="E1064" t="s">
        <v>1083</v>
      </c>
      <c r="F1064" t="s">
        <v>3226</v>
      </c>
      <c r="G1064" s="14" t="s">
        <v>2498</v>
      </c>
      <c r="H1064" s="14">
        <v>1797</v>
      </c>
      <c r="J1064" t="str">
        <f>HYPERLINK("https://jicheng.tw/tcm/book/%e6%9d%be%e5%bf%83%e9%86%ab%e6%a1%88%e7%ad%86%e8%a8%98/index.html")</f>
        <v>https://jicheng.tw/tcm/book/%e6%9d%be%e5%bf%83%e9%86%ab%e6%a1%88%e7%ad%86%e8%a8%98/index.html</v>
      </c>
    </row>
    <row r="1065" spans="1:10">
      <c r="A1065" s="10" t="s">
        <v>1999</v>
      </c>
      <c r="B1065" s="10"/>
      <c r="C1065" s="10"/>
      <c r="D1065" t="s">
        <v>2072</v>
      </c>
      <c r="E1065" t="s">
        <v>1084</v>
      </c>
      <c r="F1065" t="s">
        <v>3227</v>
      </c>
      <c r="G1065" s="14" t="s">
        <v>2498</v>
      </c>
      <c r="H1065" s="14">
        <v>1813</v>
      </c>
      <c r="J1065" s="4" t="str">
        <f>HYPERLINK("https://jicheng.tw/tcm/book/%E7%8E%8B%E4%B9%9D%E5%B3%B0%E9%86%AB%E6%A1%88%EF%BC%88%E4%B8%80%EF%BC%89/index.html")</f>
        <v>https://jicheng.tw/tcm/book/%E7%8E%8B%E4%B9%9D%E5%B3%B0%E9%86%AB%E6%A1%88%EF%BC%88%E4%B8%80%EF%BC%89/index.html</v>
      </c>
    </row>
    <row r="1066" spans="1:10">
      <c r="A1066" s="10" t="s">
        <v>1999</v>
      </c>
      <c r="B1066" s="10"/>
      <c r="C1066" s="10"/>
      <c r="D1066" t="s">
        <v>2073</v>
      </c>
      <c r="E1066" t="s">
        <v>1085</v>
      </c>
      <c r="F1066" t="s">
        <v>3227</v>
      </c>
      <c r="G1066" s="14" t="s">
        <v>2498</v>
      </c>
      <c r="H1066" s="14">
        <v>1813</v>
      </c>
      <c r="J1066" s="4" t="str">
        <f>HYPERLINK("https://jicheng.tw/tcm/book/%E7%8E%8B%E4%B9%9D%E5%B3%B0%E9%86%AB%E6%A1%88%EF%BC%88%E4%BA%8C%EF%BC%89/index.html")</f>
        <v>https://jicheng.tw/tcm/book/%E7%8E%8B%E4%B9%9D%E5%B3%B0%E9%86%AB%E6%A1%88%EF%BC%88%E4%BA%8C%EF%BC%89/index.html</v>
      </c>
    </row>
    <row r="1067" spans="1:10">
      <c r="A1067" s="10" t="s">
        <v>1999</v>
      </c>
      <c r="B1067" s="10"/>
      <c r="C1067" s="10"/>
      <c r="D1067" t="s">
        <v>2074</v>
      </c>
      <c r="E1067" t="s">
        <v>1086</v>
      </c>
      <c r="J1067" t="str">
        <f>HYPERLINK("https://jicheng.tw/tcm/book/%e7%8e%8b%e5%ad%9f%e8%8b%b1%e9%86%ab%e6%a1%88/index.html")</f>
        <v>https://jicheng.tw/tcm/book/%e7%8e%8b%e5%ad%9f%e8%8b%b1%e9%86%ab%e6%a1%88/index.html</v>
      </c>
    </row>
    <row r="1068" spans="1:10">
      <c r="A1068" s="10" t="s">
        <v>1999</v>
      </c>
      <c r="B1068" s="10"/>
      <c r="C1068" s="10"/>
      <c r="D1068" t="s">
        <v>2075</v>
      </c>
      <c r="E1068" t="s">
        <v>1087</v>
      </c>
      <c r="F1068" t="s">
        <v>3228</v>
      </c>
      <c r="H1068" s="14">
        <v>1836</v>
      </c>
      <c r="J1068" t="str">
        <f>HYPERLINK("https://jicheng.tw/tcm/book/%e8%91%89%e6%b0%8f%e9%86%ab%e6%a1%88%e5%ad%98%e7%9c%9f/index.html")</f>
        <v>https://jicheng.tw/tcm/book/%e8%91%89%e6%b0%8f%e9%86%ab%e6%a1%88%e5%ad%98%e7%9c%9f/index.html</v>
      </c>
    </row>
    <row r="1069" spans="1:10">
      <c r="A1069" s="10" t="s">
        <v>1999</v>
      </c>
      <c r="B1069" s="10"/>
      <c r="C1069" s="10"/>
      <c r="D1069" t="s">
        <v>2076</v>
      </c>
      <c r="E1069" t="s">
        <v>1088</v>
      </c>
      <c r="J1069" t="str">
        <f>HYPERLINK("https://jicheng.tw/tcm/book/%e8%91%89%e5%a4%a9%e5%a3%ab%e9%86%ab%e6%a1%88/index.html")</f>
        <v>https://jicheng.tw/tcm/book/%e8%91%89%e5%a4%a9%e5%a3%ab%e9%86%ab%e6%a1%88/index.html</v>
      </c>
    </row>
    <row r="1070" spans="1:10">
      <c r="A1070" s="10" t="s">
        <v>1999</v>
      </c>
      <c r="B1070" s="10"/>
      <c r="C1070" s="10"/>
      <c r="D1070" t="s">
        <v>2077</v>
      </c>
      <c r="E1070" t="s">
        <v>1089</v>
      </c>
      <c r="J1070" t="str">
        <f>HYPERLINK("https://jicheng.tw/tcm/book/%e9%87%8c%e4%b8%ad%e9%86%ab%e6%a1%88/index.html")</f>
        <v>https://jicheng.tw/tcm/book/%e9%87%8c%e4%b8%ad%e9%86%ab%e6%a1%88/index.html</v>
      </c>
    </row>
    <row r="1071" spans="1:10">
      <c r="A1071" s="10" t="s">
        <v>1999</v>
      </c>
      <c r="B1071" s="10"/>
      <c r="C1071" s="10"/>
      <c r="D1071" t="s">
        <v>2078</v>
      </c>
      <c r="E1071" t="s">
        <v>1090</v>
      </c>
      <c r="F1071" t="s">
        <v>3229</v>
      </c>
      <c r="H1071" s="14">
        <v>1737</v>
      </c>
      <c r="J1071" t="str">
        <f>HYPERLINK("https://jicheng.tw/tcm/book/%e8%96%9b%e6%a1%88%e8%be%a8%e7%96%8f/index.html")</f>
        <v>https://jicheng.tw/tcm/book/%e8%96%9b%e6%a1%88%e8%be%a8%e7%96%8f/index.html</v>
      </c>
    </row>
    <row r="1072" spans="1:10">
      <c r="A1072" s="10" t="s">
        <v>1999</v>
      </c>
      <c r="B1072" s="10"/>
      <c r="C1072" s="10"/>
      <c r="D1072" t="s">
        <v>2079</v>
      </c>
      <c r="E1072" t="s">
        <v>1091</v>
      </c>
      <c r="F1072" t="s">
        <v>3230</v>
      </c>
      <c r="G1072" s="14" t="s">
        <v>2498</v>
      </c>
      <c r="H1072" s="14">
        <v>1843</v>
      </c>
      <c r="J1072" t="str">
        <f>HYPERLINK("https://jicheng.tw/tcm/book/%e7%8e%8b%e6%b0%8f%e9%86%ab%e6%a1%88/index.html")</f>
        <v>https://jicheng.tw/tcm/book/%e7%8e%8b%e6%b0%8f%e9%86%ab%e6%a1%88/index.html</v>
      </c>
    </row>
    <row r="1073" spans="1:10">
      <c r="A1073" s="10" t="s">
        <v>1999</v>
      </c>
      <c r="B1073" s="10"/>
      <c r="C1073" s="10"/>
      <c r="D1073" t="s">
        <v>2080</v>
      </c>
      <c r="E1073" t="s">
        <v>1092</v>
      </c>
      <c r="F1073" t="s">
        <v>3231</v>
      </c>
      <c r="G1073" s="14" t="s">
        <v>2498</v>
      </c>
      <c r="H1073" s="14">
        <v>1850</v>
      </c>
      <c r="J1073" t="str">
        <f>HYPERLINK("https://jicheng.tw/tcm/book/%e7%8e%8b%e6%b0%8f%e9%86%ab%e6%a1%88%e7%ba%8c%e7%b7%a8/index.html")</f>
        <v>https://jicheng.tw/tcm/book/%e7%8e%8b%e6%b0%8f%e9%86%ab%e6%a1%88%e7%ba%8c%e7%b7%a8/index.html</v>
      </c>
    </row>
    <row r="1074" spans="1:10">
      <c r="A1074" s="10" t="s">
        <v>1999</v>
      </c>
      <c r="B1074" s="10"/>
      <c r="C1074" s="10"/>
      <c r="D1074" t="s">
        <v>2081</v>
      </c>
      <c r="E1074" t="s">
        <v>1093</v>
      </c>
      <c r="F1074" t="s">
        <v>3232</v>
      </c>
      <c r="G1074" s="14" t="s">
        <v>2498</v>
      </c>
      <c r="H1074" s="14">
        <v>1854</v>
      </c>
      <c r="J1074" t="str">
        <f>HYPERLINK("https://jicheng.tw/tcm/book/%e7%8e%8b%e6%b0%8f%e9%86%ab%e6%a1%88%e4%b8%89%e7%b7%a8/index.html")</f>
        <v>https://jicheng.tw/tcm/book/%e7%8e%8b%e6%b0%8f%e9%86%ab%e6%a1%88%e4%b8%89%e7%b7%a8/index.html</v>
      </c>
    </row>
    <row r="1075" spans="1:10">
      <c r="A1075" s="10" t="s">
        <v>1999</v>
      </c>
      <c r="B1075" s="10"/>
      <c r="C1075" s="10"/>
      <c r="D1075" t="s">
        <v>2082</v>
      </c>
      <c r="E1075" t="s">
        <v>1094</v>
      </c>
      <c r="F1075" t="s">
        <v>3233</v>
      </c>
      <c r="G1075" s="14" t="s">
        <v>2498</v>
      </c>
      <c r="H1075" s="14">
        <v>1644</v>
      </c>
      <c r="J1075" t="str">
        <f>HYPERLINK("https://jicheng.tw/tcm/book/%e7%8e%8b%e6%b0%8f%e9%86%ab%e6%a1%88%e7%b9%b9%e8%a8%bb/index.html")</f>
        <v>https://jicheng.tw/tcm/book/%e7%8e%8b%e6%b0%8f%e9%86%ab%e6%a1%88%e7%b9%b9%e8%a8%bb/index.html</v>
      </c>
    </row>
    <row r="1076" spans="1:10">
      <c r="A1076" s="10" t="s">
        <v>1999</v>
      </c>
      <c r="B1076" s="10"/>
      <c r="C1076" s="10"/>
      <c r="D1076" t="s">
        <v>2083</v>
      </c>
      <c r="E1076" t="s">
        <v>1095</v>
      </c>
      <c r="F1076" t="s">
        <v>3234</v>
      </c>
      <c r="G1076" s="14" t="s">
        <v>2498</v>
      </c>
      <c r="H1076" s="14">
        <v>1759</v>
      </c>
      <c r="J1076" t="str">
        <f>HYPERLINK("https://jicheng.tw/tcm/book/%e6%b4%84%e6%ba%aa%e9%86%ab%e6%a1%88/index.html")</f>
        <v>https://jicheng.tw/tcm/book/%e6%b4%84%e6%ba%aa%e9%86%ab%e6%a1%88/index.html</v>
      </c>
    </row>
    <row r="1077" spans="1:10">
      <c r="A1077" s="10" t="s">
        <v>1999</v>
      </c>
      <c r="B1077" s="10"/>
      <c r="C1077" s="10"/>
      <c r="D1077" t="s">
        <v>2084</v>
      </c>
      <c r="E1077" t="s">
        <v>1096</v>
      </c>
      <c r="J1077" t="str">
        <f>HYPERLINK("https://jicheng.tw/tcm/book/%e6%b4%84%e6%ba%aa%e9%86%ab%e6%a1%88%e6%8c%89/index.html")</f>
        <v>https://jicheng.tw/tcm/book/%e6%b4%84%e6%ba%aa%e9%86%ab%e6%a1%88%e6%8c%89/index.html</v>
      </c>
    </row>
    <row r="1078" spans="1:10">
      <c r="A1078" s="10" t="s">
        <v>1999</v>
      </c>
      <c r="B1078" s="10"/>
      <c r="C1078" s="10"/>
      <c r="D1078" t="s">
        <v>2085</v>
      </c>
      <c r="E1078" t="s">
        <v>1097</v>
      </c>
      <c r="F1078" t="s">
        <v>3235</v>
      </c>
      <c r="G1078" s="14" t="s">
        <v>2495</v>
      </c>
      <c r="H1078" s="14">
        <v>1531</v>
      </c>
      <c r="J1078" t="str">
        <f>HYPERLINK("https://jicheng.tw/tcm/book/%e7%9f%b3%e5%b1%b1%e9%86%ab%e6%a1%88/index.html")</f>
        <v>https://jicheng.tw/tcm/book/%e7%9f%b3%e5%b1%b1%e9%86%ab%e6%a1%88/index.html</v>
      </c>
    </row>
    <row r="1079" spans="1:10">
      <c r="A1079" s="10" t="s">
        <v>1999</v>
      </c>
      <c r="B1079" s="10"/>
      <c r="C1079" s="10"/>
      <c r="D1079" t="s">
        <v>2086</v>
      </c>
      <c r="E1079" t="s">
        <v>1098</v>
      </c>
      <c r="F1079" t="s">
        <v>3236</v>
      </c>
      <c r="G1079" s="14" t="s">
        <v>2498</v>
      </c>
      <c r="H1079" s="14">
        <v>1763</v>
      </c>
      <c r="J1079" t="str">
        <f>HYPERLINK("https://jicheng.tw/tcm/book/%e8%be%a8%e8%ad%89%e5%a5%87%e8%81%9e/index.html")</f>
        <v>https://jicheng.tw/tcm/book/%e8%be%a8%e8%ad%89%e5%a5%87%e8%81%9e/index.html</v>
      </c>
    </row>
    <row r="1080" spans="1:10">
      <c r="A1080" s="10" t="s">
        <v>1999</v>
      </c>
      <c r="B1080" s="10"/>
      <c r="C1080" s="10"/>
      <c r="D1080" t="s">
        <v>2087</v>
      </c>
      <c r="E1080" t="s">
        <v>1099</v>
      </c>
      <c r="F1080" t="s">
        <v>3237</v>
      </c>
      <c r="G1080" s="14" t="s">
        <v>2498</v>
      </c>
      <c r="H1080" s="14">
        <v>1729</v>
      </c>
      <c r="J1080" t="str">
        <f>HYPERLINK("https://jicheng.tw/tcm/book/%e9%9d%9c%e9%a6%99%e6%a8%93%e9%86%ab%e6%a1%88/index.html")</f>
        <v>https://jicheng.tw/tcm/book/%e9%9d%9c%e9%a6%99%e6%a8%93%e9%86%ab%e6%a1%88/index.html</v>
      </c>
    </row>
    <row r="1081" spans="1:10">
      <c r="A1081" s="10" t="s">
        <v>1999</v>
      </c>
      <c r="B1081" s="10"/>
      <c r="C1081" s="10"/>
      <c r="D1081" t="s">
        <v>2088</v>
      </c>
      <c r="E1081" t="s">
        <v>1100</v>
      </c>
      <c r="J1081" t="str">
        <f>HYPERLINK("https://jicheng.tw/tcm/book/%e5%ad%ab%e6%b0%8f%e9%86%ab%e6%a1%88/index.html")</f>
        <v>https://jicheng.tw/tcm/book/%e5%ad%ab%e6%b0%8f%e9%86%ab%e6%a1%88/index.html</v>
      </c>
    </row>
    <row r="1082" spans="1:10">
      <c r="A1082" s="10" t="s">
        <v>1999</v>
      </c>
      <c r="B1082" s="10"/>
      <c r="C1082" s="10"/>
      <c r="D1082" t="s">
        <v>2089</v>
      </c>
      <c r="E1082" t="s">
        <v>1101</v>
      </c>
      <c r="J1082" t="str">
        <f>HYPERLINK("https://jicheng.tw/tcm/book/%e5%8d%83%e9%87%8c%e9%86%ab%e6%a1%88/index.html")</f>
        <v>https://jicheng.tw/tcm/book/%e5%8d%83%e9%87%8c%e9%86%ab%e6%a1%88/index.html</v>
      </c>
    </row>
    <row r="1083" spans="1:10">
      <c r="A1083" s="10" t="s">
        <v>1999</v>
      </c>
      <c r="B1083" s="10"/>
      <c r="C1083" s="10"/>
      <c r="D1083" t="s">
        <v>2090</v>
      </c>
      <c r="E1083" t="s">
        <v>1102</v>
      </c>
      <c r="F1083" t="s">
        <v>3238</v>
      </c>
      <c r="G1083" s="14" t="s">
        <v>2498</v>
      </c>
      <c r="H1083" s="14">
        <v>1901</v>
      </c>
      <c r="J1083" t="str">
        <f>HYPERLINK("https://jicheng.tw/tcm/book/%e5%b4%87%e5%af%a6%e5%a0%82%e9%86%ab%e6%a1%88/index.html")</f>
        <v>https://jicheng.tw/tcm/book/%e5%b4%87%e5%af%a6%e5%a0%82%e9%86%ab%e6%a1%88/index.html</v>
      </c>
    </row>
    <row r="1084" spans="1:10">
      <c r="A1084" s="10" t="s">
        <v>1999</v>
      </c>
      <c r="B1084" s="10"/>
      <c r="C1084" s="10"/>
      <c r="D1084" t="s">
        <v>1103</v>
      </c>
      <c r="E1084" t="s">
        <v>1103</v>
      </c>
      <c r="F1084" t="s">
        <v>3206</v>
      </c>
      <c r="G1084" s="14" t="s">
        <v>2498</v>
      </c>
      <c r="J1084" t="str">
        <f>HYPERLINK("https://jicheng.tw/tcm/book/%e5%bb%b6%e9%99%b5%e5%bc%9f%e5%ad%90%e7%b4%80%e8%a6%81/index.html")</f>
        <v>https://jicheng.tw/tcm/book/%e5%bb%b6%e9%99%b5%e5%bc%9f%e5%ad%90%e7%b4%80%e8%a6%81/index.html</v>
      </c>
    </row>
    <row r="1085" spans="1:10">
      <c r="A1085" s="10" t="s">
        <v>1999</v>
      </c>
      <c r="B1085" s="10"/>
      <c r="C1085" s="10"/>
      <c r="D1085" t="s">
        <v>2091</v>
      </c>
      <c r="E1085" t="s">
        <v>1104</v>
      </c>
      <c r="J1085" t="str">
        <f>HYPERLINK("https://jicheng.tw/tcm/book/%e5%be%90%e6%b8%a1%e6%bc%81%e5%85%88%e7%94%9f%e9%86%ab%e6%a1%88/index.html")</f>
        <v>https://jicheng.tw/tcm/book/%e5%be%90%e6%b8%a1%e6%bc%81%e5%85%88%e7%94%9f%e9%86%ab%e6%a1%88/index.html</v>
      </c>
    </row>
    <row r="1086" spans="1:10">
      <c r="A1086" s="10" t="s">
        <v>1999</v>
      </c>
      <c r="B1086" s="10"/>
      <c r="C1086" s="10"/>
      <c r="D1086" t="s">
        <v>1105</v>
      </c>
      <c r="E1086" t="s">
        <v>1105</v>
      </c>
      <c r="F1086" t="s">
        <v>3239</v>
      </c>
      <c r="G1086" s="14" t="s">
        <v>2495</v>
      </c>
      <c r="H1086" s="14">
        <v>1570</v>
      </c>
      <c r="J1086" t="str">
        <f>HYPERLINK("https://jicheng.tw/tcm/book/%e6%8e%a8%e7%af%b7%e5%af%a4%e8%aa%9e/index.html")</f>
        <v>https://jicheng.tw/tcm/book/%e6%8e%a8%e7%af%b7%e5%af%a4%e8%aa%9e/index.html</v>
      </c>
    </row>
    <row r="1087" spans="1:10">
      <c r="A1087" s="10" t="s">
        <v>1999</v>
      </c>
      <c r="B1087" s="10"/>
      <c r="C1087" s="10"/>
      <c r="D1087" t="s">
        <v>2092</v>
      </c>
      <c r="E1087" t="s">
        <v>1106</v>
      </c>
      <c r="H1087" s="14">
        <v>1687</v>
      </c>
      <c r="J1087" t="str">
        <f>HYPERLINK("https://jicheng.tw/tcm/book/%e8%88%8a%e5%be%b7%e5%a0%82%e9%86%ab%e6%a1%88/index.html")</f>
        <v>https://jicheng.tw/tcm/book/%e8%88%8a%e5%be%b7%e5%a0%82%e9%86%ab%e6%a1%88/index.html</v>
      </c>
    </row>
    <row r="1088" spans="1:10">
      <c r="A1088" s="10" t="s">
        <v>1999</v>
      </c>
      <c r="B1088" s="10"/>
      <c r="C1088" s="10"/>
      <c r="D1088" t="s">
        <v>2093</v>
      </c>
      <c r="E1088" t="s">
        <v>1107</v>
      </c>
      <c r="J1088" t="str">
        <f>HYPERLINK("https://jicheng.tw/tcm/book/%e5%85%a8%e5%9c%8b%e5%90%8d%e9%86%ab%e9%a9%97%e6%a1%88%e9%a1%9e%e7%b7%a8/index.html")</f>
        <v>https://jicheng.tw/tcm/book/%e5%85%a8%e5%9c%8b%e5%90%8d%e9%86%ab%e9%a9%97%e6%a1%88%e9%a1%9e%e7%b7%a8/index.html</v>
      </c>
    </row>
    <row r="1089" spans="1:10">
      <c r="A1089" s="10" t="s">
        <v>1999</v>
      </c>
      <c r="B1089" s="10"/>
      <c r="C1089" s="10"/>
      <c r="D1089" t="s">
        <v>2094</v>
      </c>
      <c r="E1089" t="s">
        <v>1108</v>
      </c>
      <c r="F1089" t="s">
        <v>3221</v>
      </c>
      <c r="G1089" s="14" t="s">
        <v>2495</v>
      </c>
      <c r="H1089" s="14">
        <v>1641</v>
      </c>
      <c r="J1089" t="str">
        <f>HYPERLINK("https://jicheng.tw/tcm/book/%e9%86%ab%e9%a9%97%e5%a4%a7%e6%88%90/index.html")</f>
        <v>https://jicheng.tw/tcm/book/%e9%86%ab%e9%a9%97%e5%a4%a7%e6%88%90/index.html</v>
      </c>
    </row>
    <row r="1090" spans="1:10">
      <c r="A1090" s="10" t="s">
        <v>1999</v>
      </c>
      <c r="B1090" s="10"/>
      <c r="C1090" s="10"/>
      <c r="D1090" t="s">
        <v>2095</v>
      </c>
      <c r="E1090" t="s">
        <v>1109</v>
      </c>
      <c r="J1090" t="str">
        <f>HYPERLINK("https://jicheng.tw/tcm/book/%e6%9b%b9%e6%bb%84%e6%b4%b2%e9%86%ab%e6%a1%88/index.html")</f>
        <v>https://jicheng.tw/tcm/book/%e6%9b%b9%e6%bb%84%e6%b4%b2%e9%86%ab%e6%a1%88/index.html</v>
      </c>
    </row>
    <row r="1091" spans="1:10">
      <c r="A1091" s="10" t="s">
        <v>1999</v>
      </c>
      <c r="B1091" s="10"/>
      <c r="C1091" s="10"/>
      <c r="D1091" t="s">
        <v>2096</v>
      </c>
      <c r="E1091" t="s">
        <v>1110</v>
      </c>
      <c r="J1091" t="str">
        <f>HYPERLINK("https://jicheng.tw/tcm/book/%e9%86%89%e8%8a%b1%e7%aa%97%e9%86%ab%e6%a1%88/index.html")</f>
        <v>https://jicheng.tw/tcm/book/%e9%86%89%e8%8a%b1%e7%aa%97%e9%86%ab%e6%a1%88/index.html</v>
      </c>
    </row>
    <row r="1092" spans="1:10">
      <c r="A1092" s="10" t="s">
        <v>1999</v>
      </c>
      <c r="B1092" s="10"/>
      <c r="C1092" s="10"/>
      <c r="D1092" t="s">
        <v>2097</v>
      </c>
      <c r="E1092" t="s">
        <v>1111</v>
      </c>
      <c r="F1092" t="s">
        <v>3240</v>
      </c>
      <c r="G1092" s="14" t="s">
        <v>2498</v>
      </c>
      <c r="J1092" t="str">
        <f>HYPERLINK("https://jicheng.tw/tcm/book/%e4%b8%80%e7%93%a2%e9%86%ab%e6%a1%88/index.html")</f>
        <v>https://jicheng.tw/tcm/book/%e4%b8%80%e7%93%a2%e9%86%ab%e6%a1%88/index.html</v>
      </c>
    </row>
    <row r="1093" spans="1:10">
      <c r="A1093" s="10" t="s">
        <v>1999</v>
      </c>
      <c r="B1093" s="10"/>
      <c r="C1093" s="10"/>
      <c r="D1093" t="s">
        <v>2098</v>
      </c>
      <c r="E1093" t="s">
        <v>1112</v>
      </c>
      <c r="J1093" t="str">
        <f>HYPERLINK("https://jicheng.tw/tcm/book/%e6%b9%96%e5%b2%b3%e6%9d%91%e5%8f%9f%e9%86%ab%e6%a1%88/index.html")</f>
        <v>https://jicheng.tw/tcm/book/%e6%b9%96%e5%b2%b3%e6%9d%91%e5%8f%9f%e9%86%ab%e6%a1%88/index.html</v>
      </c>
    </row>
    <row r="1094" spans="1:10">
      <c r="A1094" s="10" t="s">
        <v>1999</v>
      </c>
      <c r="B1094" s="10"/>
      <c r="C1094" s="10"/>
      <c r="D1094" t="s">
        <v>2099</v>
      </c>
      <c r="E1094" t="s">
        <v>1113</v>
      </c>
      <c r="J1094" t="str">
        <f>HYPERLINK("https://jicheng.tw/tcm/book/%e4%bd%99%e7%84%a1%e8%a8%80%e9%86%ab%e6%a1%88/index.html")</f>
        <v>https://jicheng.tw/tcm/book/%e4%bd%99%e7%84%a1%e8%a8%80%e9%86%ab%e6%a1%88/index.html</v>
      </c>
    </row>
    <row r="1095" spans="1:10">
      <c r="A1095" s="10" t="s">
        <v>1999</v>
      </c>
      <c r="B1095" s="10"/>
      <c r="C1095" s="10"/>
      <c r="D1095" t="s">
        <v>2100</v>
      </c>
      <c r="E1095" t="s">
        <v>1114</v>
      </c>
      <c r="J1095" t="str">
        <f>HYPERLINK("https://jicheng.tw/tcm/book/%e9%86%ab%e8%ab%96%e9%86%ab%e8%a9%b1%e9%9a%a8%e7%ad%86%e9%a1%9e/index.html")</f>
        <v>https://jicheng.tw/tcm/book/%e9%86%ab%e8%ab%96%e9%86%ab%e8%a9%b1%e9%9a%a8%e7%ad%86%e9%a1%9e/index.html</v>
      </c>
    </row>
    <row r="1096" spans="1:10">
      <c r="A1096" s="10" t="s">
        <v>2477</v>
      </c>
      <c r="B1096" s="10"/>
      <c r="C1096" s="10"/>
      <c r="D1096" t="s">
        <v>2101</v>
      </c>
      <c r="E1096" t="s">
        <v>1115</v>
      </c>
      <c r="F1096" t="s">
        <v>3241</v>
      </c>
      <c r="J1096" t="str">
        <f>HYPERLINK("https://jicheng.tw/tcm/book/%e8%97%a4%e6%b0%8f%e9%86%ab%e8%ab%87/index.html")</f>
        <v>https://jicheng.tw/tcm/book/%e8%97%a4%e6%b0%8f%e9%86%ab%e8%ab%87/index.html</v>
      </c>
    </row>
    <row r="1097" spans="1:10">
      <c r="A1097" s="10" t="s">
        <v>2477</v>
      </c>
      <c r="B1097" s="10"/>
      <c r="C1097" s="10"/>
      <c r="D1097" t="s">
        <v>2102</v>
      </c>
      <c r="E1097" t="s">
        <v>1116</v>
      </c>
      <c r="F1097" t="s">
        <v>3242</v>
      </c>
      <c r="G1097" s="14" t="s">
        <v>3243</v>
      </c>
      <c r="H1097" s="14">
        <v>1356</v>
      </c>
      <c r="J1097" t="str">
        <f>HYPERLINK("https://jicheng.tw/tcm/book/%e5%b1%80%e6%96%b9%e7%99%bc%e6%8f%ae/index.html")</f>
        <v>https://jicheng.tw/tcm/book/%e5%b1%80%e6%96%b9%e7%99%bc%e6%8f%ae/index.html</v>
      </c>
    </row>
    <row r="1098" spans="1:10">
      <c r="A1098" s="10" t="s">
        <v>2477</v>
      </c>
      <c r="B1098" s="10"/>
      <c r="C1098" s="10"/>
      <c r="D1098" t="s">
        <v>2103</v>
      </c>
      <c r="E1098" t="s">
        <v>1117</v>
      </c>
      <c r="F1098" t="s">
        <v>3200</v>
      </c>
      <c r="G1098" s="14" t="s">
        <v>2498</v>
      </c>
      <c r="H1098" s="14">
        <v>1851</v>
      </c>
      <c r="J1098" t="str">
        <f>HYPERLINK("https://jicheng.tw/tcm/book/%e6%9f%b3%e6%b4%b2%e9%86%ab%e8%a9%b1/index.html")</f>
        <v>https://jicheng.tw/tcm/book/%e6%9f%b3%e6%b4%b2%e9%86%ab%e8%a9%b1/index.html</v>
      </c>
    </row>
    <row r="1099" spans="1:10">
      <c r="A1099" s="10" t="s">
        <v>2477</v>
      </c>
      <c r="B1099" s="10"/>
      <c r="C1099" s="10"/>
      <c r="D1099" s="3" t="s">
        <v>2104</v>
      </c>
      <c r="E1099" s="3" t="s">
        <v>1118</v>
      </c>
      <c r="F1099" t="s">
        <v>3244</v>
      </c>
      <c r="G1099" s="14" t="s">
        <v>2498</v>
      </c>
      <c r="H1099" s="14">
        <v>1851</v>
      </c>
      <c r="I1099" s="3"/>
      <c r="J1099" s="3" t="str">
        <f>HYPERLINK("https://jicheng.tw/tcm/book/%e9%a6%a4%e5%a1%98%e9%86%ab%e8%a9%b1/index.html")</f>
        <v>https://jicheng.tw/tcm/book/%e9%a6%a4%e5%a1%98%e9%86%ab%e8%a9%b1/index.html</v>
      </c>
    </row>
    <row r="1100" spans="1:10">
      <c r="A1100" s="10" t="s">
        <v>2477</v>
      </c>
      <c r="B1100" s="10"/>
      <c r="C1100" s="10"/>
      <c r="D1100" t="s">
        <v>2105</v>
      </c>
      <c r="E1100" t="s">
        <v>1119</v>
      </c>
      <c r="F1100" t="s">
        <v>3245</v>
      </c>
      <c r="G1100" s="14" t="s">
        <v>2498</v>
      </c>
      <c r="H1100" s="14">
        <v>1858</v>
      </c>
      <c r="J1100" t="str">
        <f>HYPERLINK("https://jicheng.tw/tcm/book/%e5%86%b7%e5%bb%ac%e9%86%ab%e8%a9%b1/index.html")</f>
        <v>https://jicheng.tw/tcm/book/%e5%86%b7%e5%bb%ac%e9%86%ab%e8%a9%b1/index.html</v>
      </c>
    </row>
    <row r="1101" spans="1:10">
      <c r="A1101" s="10" t="s">
        <v>2477</v>
      </c>
      <c r="B1101" s="10"/>
      <c r="C1101" s="10"/>
      <c r="D1101" s="3" t="s">
        <v>2106</v>
      </c>
      <c r="E1101" t="s">
        <v>1120</v>
      </c>
      <c r="H1101" s="14">
        <v>1898</v>
      </c>
      <c r="J1101" t="str">
        <f>HYPERLINK("https://jicheng.tw/tcm/book/%e8%91%89%e9%81%b8%e9%86%ab%e8%a1%a1/index.html")</f>
        <v>https://jicheng.tw/tcm/book/%e8%91%89%e9%81%b8%e9%86%ab%e8%a1%a1/index.html</v>
      </c>
    </row>
    <row r="1102" spans="1:10">
      <c r="A1102" s="10" t="s">
        <v>2477</v>
      </c>
      <c r="B1102" s="10"/>
      <c r="C1102" s="10"/>
      <c r="D1102" t="s">
        <v>2107</v>
      </c>
      <c r="E1102" t="s">
        <v>1121</v>
      </c>
      <c r="F1102" t="s">
        <v>3249</v>
      </c>
      <c r="G1102" s="14" t="s">
        <v>2498</v>
      </c>
      <c r="H1102" s="14">
        <v>1812</v>
      </c>
      <c r="J1102" t="str">
        <f>HYPERLINK("https://jicheng.tw/tcm/book/%e5%8f%8b%e6%bc%81%e9%bd%8b%e9%86%ab%e8%a9%b1/index.html")</f>
        <v>https://jicheng.tw/tcm/book/%e5%8f%8b%e6%bc%81%e9%bd%8b%e9%86%ab%e8%a9%b1/index.html</v>
      </c>
    </row>
    <row r="1103" spans="1:10">
      <c r="A1103" s="10" t="s">
        <v>2477</v>
      </c>
      <c r="B1103" s="10"/>
      <c r="C1103" s="10"/>
      <c r="D1103" t="s">
        <v>2108</v>
      </c>
      <c r="E1103" t="s">
        <v>1122</v>
      </c>
      <c r="F1103" t="s">
        <v>2644</v>
      </c>
      <c r="G1103" s="14" t="s">
        <v>2495</v>
      </c>
      <c r="H1103" s="14">
        <v>1602</v>
      </c>
      <c r="J1103" t="str">
        <f>HYPERLINK("https://jicheng.tw/tcm/book/%e8%82%af%e5%a0%82%e9%86%ab%e8%ab%96/index.html")</f>
        <v>https://jicheng.tw/tcm/book/%e8%82%af%e5%a0%82%e9%86%ab%e8%ab%96/index.html</v>
      </c>
    </row>
    <row r="1104" spans="1:10">
      <c r="A1104" s="10" t="s">
        <v>2477</v>
      </c>
      <c r="B1104" s="10"/>
      <c r="C1104" s="10"/>
      <c r="D1104" t="s">
        <v>2109</v>
      </c>
      <c r="E1104" t="s">
        <v>1123</v>
      </c>
      <c r="F1104" t="s">
        <v>3250</v>
      </c>
      <c r="G1104" s="14" t="s">
        <v>2498</v>
      </c>
      <c r="H1104" s="14">
        <v>1843</v>
      </c>
      <c r="J1104" t="str">
        <f>HYPERLINK("https://jicheng.tw/tcm/book/%e5%9b%9e%e6%98%a5%e9%8c%84/index.html")</f>
        <v>https://jicheng.tw/tcm/book/%e5%9b%9e%e6%98%a5%e9%8c%84/index.html</v>
      </c>
    </row>
    <row r="1105" spans="1:10">
      <c r="A1105" s="10" t="s">
        <v>2477</v>
      </c>
      <c r="B1105" s="10"/>
      <c r="C1105" s="10"/>
      <c r="D1105" t="s">
        <v>2110</v>
      </c>
      <c r="E1105" t="s">
        <v>1124</v>
      </c>
      <c r="F1105" t="s">
        <v>3251</v>
      </c>
      <c r="G1105" s="14" t="s">
        <v>2498</v>
      </c>
      <c r="H1105" s="14">
        <v>1804</v>
      </c>
      <c r="J1105" t="str">
        <f>HYPERLINK("https://jicheng.tw/tcm/book/%e5%ae%a2%e5%a1%b5%e9%86%ab%e8%a9%b1/index.html")</f>
        <v>https://jicheng.tw/tcm/book/%e5%ae%a2%e5%a1%b5%e9%86%ab%e8%a9%b1/index.html</v>
      </c>
    </row>
    <row r="1106" spans="1:10">
      <c r="A1106" s="10" t="s">
        <v>2477</v>
      </c>
      <c r="B1106" s="10"/>
      <c r="C1106" s="10"/>
      <c r="D1106" t="s">
        <v>2111</v>
      </c>
      <c r="E1106" t="s">
        <v>1125</v>
      </c>
      <c r="F1106" t="s">
        <v>2567</v>
      </c>
      <c r="G1106" s="14" t="s">
        <v>2498</v>
      </c>
      <c r="H1106" s="14">
        <v>1757</v>
      </c>
      <c r="J1106" t="str">
        <f>HYPERLINK("https://jicheng.tw/tcm/book/%e9%86%ab%e5%ad%b8%e6%ba%90%e6%b5%81%e8%ab%96/index.html")</f>
        <v>https://jicheng.tw/tcm/book/%e9%86%ab%e5%ad%b8%e6%ba%90%e6%b5%81%e8%ab%96/index.html</v>
      </c>
    </row>
    <row r="1107" spans="1:10">
      <c r="A1107" s="10" t="s">
        <v>2477</v>
      </c>
      <c r="B1107" s="10"/>
      <c r="C1107" s="10"/>
      <c r="D1107" t="s">
        <v>2112</v>
      </c>
      <c r="E1107" t="s">
        <v>1126</v>
      </c>
      <c r="F1107" t="s">
        <v>2567</v>
      </c>
      <c r="G1107" s="14" t="s">
        <v>2498</v>
      </c>
      <c r="H1107" s="14">
        <v>1757</v>
      </c>
      <c r="J1107" t="str">
        <f>HYPERLINK("https://jicheng.tw/tcm/book/%e9%86%ab%e5%ad%b8%e6%ba%90%e6%b5%81%e8%ab%96%5f%e6%a2%9d%e5%88%97%e7%89%88/index.html")</f>
        <v>https://jicheng.tw/tcm/book/%e9%86%ab%e5%ad%b8%e6%ba%90%e6%b5%81%e8%ab%96%5f%e6%a2%9d%e5%88%97%e7%89%88/index.html</v>
      </c>
    </row>
    <row r="1108" spans="1:10">
      <c r="A1108" s="10" t="s">
        <v>2477</v>
      </c>
      <c r="B1108" s="10"/>
      <c r="C1108" s="10"/>
      <c r="D1108" t="s">
        <v>2113</v>
      </c>
      <c r="E1108" t="s">
        <v>1127</v>
      </c>
      <c r="F1108" t="s">
        <v>3252</v>
      </c>
      <c r="G1108" s="14" t="s">
        <v>2498</v>
      </c>
      <c r="H1108" s="14">
        <v>1902</v>
      </c>
      <c r="J1108" t="str">
        <f>HYPERLINK("https://jicheng.tw/tcm/book/%e5%b0%8d%e5%b1%b1%e9%86%ab%e8%a9%b1/index.html")</f>
        <v>https://jicheng.tw/tcm/book/%e5%b0%8d%e5%b1%b1%e9%86%ab%e8%a9%b1/index.html</v>
      </c>
    </row>
    <row r="1109" spans="1:10">
      <c r="A1109" s="10" t="s">
        <v>2477</v>
      </c>
      <c r="B1109" s="10"/>
      <c r="C1109" s="10"/>
      <c r="D1109" t="s">
        <v>2114</v>
      </c>
      <c r="E1109" t="s">
        <v>1128</v>
      </c>
      <c r="F1109" t="s">
        <v>3253</v>
      </c>
      <c r="G1109" s="14" t="s">
        <v>2498</v>
      </c>
      <c r="H1109" s="14">
        <v>1871</v>
      </c>
      <c r="J1109" t="str">
        <f>HYPERLINK("https://jicheng.tw/tcm/book/%e7%a0%94%e7%b6%93%e8%a8%80/index.html")</f>
        <v>https://jicheng.tw/tcm/book/%e7%a0%94%e7%b6%93%e8%a8%80/index.html</v>
      </c>
    </row>
    <row r="1110" spans="1:10">
      <c r="A1110" s="10" t="s">
        <v>2477</v>
      </c>
      <c r="B1110" s="10"/>
      <c r="C1110" s="10"/>
      <c r="D1110" t="s">
        <v>2115</v>
      </c>
      <c r="E1110" t="s">
        <v>1129</v>
      </c>
      <c r="F1110" t="s">
        <v>3254</v>
      </c>
      <c r="G1110" s="14" t="s">
        <v>2498</v>
      </c>
      <c r="H1110" s="14">
        <v>1861</v>
      </c>
      <c r="J1110" t="str">
        <f>HYPERLINK("https://jicheng.tw/tcm/book/%e9%86%ab%e5%8e%9f/index.html")</f>
        <v>https://jicheng.tw/tcm/book/%e9%86%ab%e5%8e%9f/index.html</v>
      </c>
    </row>
    <row r="1111" spans="1:10">
      <c r="A1111" s="10" t="s">
        <v>2477</v>
      </c>
      <c r="B1111" s="10"/>
      <c r="C1111" s="10"/>
      <c r="D1111" t="s">
        <v>2116</v>
      </c>
      <c r="E1111" t="s">
        <v>1130</v>
      </c>
      <c r="F1111" t="s">
        <v>2546</v>
      </c>
      <c r="G1111" s="14" t="s">
        <v>2495</v>
      </c>
      <c r="H1111" s="14">
        <v>1687</v>
      </c>
      <c r="J1111" t="str">
        <f>HYPERLINK("https://jicheng.tw/tcm/book/%e8%b3%aa%e7%96%91%e9%8c%84/index.html")</f>
        <v>https://jicheng.tw/tcm/book/%e8%b3%aa%e7%96%91%e9%8c%84/index.html</v>
      </c>
    </row>
    <row r="1112" spans="1:10">
      <c r="A1112" s="10" t="s">
        <v>2477</v>
      </c>
      <c r="B1112" s="10"/>
      <c r="C1112" s="10"/>
      <c r="D1112" t="s">
        <v>2117</v>
      </c>
      <c r="E1112" s="1" t="s">
        <v>1131</v>
      </c>
      <c r="F1112" t="s">
        <v>3255</v>
      </c>
      <c r="G1112" s="14" t="s">
        <v>2498</v>
      </c>
      <c r="H1112" s="14">
        <v>1792</v>
      </c>
      <c r="I1112" s="1"/>
      <c r="J1112" s="1" t="str">
        <f>HYPERLINK("https://jicheng.tw/tcm/book/%e5%90%b3%e9%86%ab%e5%bd%99%e8%ac%9b/index.html")</f>
        <v>https://jicheng.tw/tcm/book/%e5%90%b3%e9%86%ab%e5%bd%99%e8%ac%9b/index.html</v>
      </c>
    </row>
    <row r="1113" spans="1:10">
      <c r="A1113" s="10" t="s">
        <v>2477</v>
      </c>
      <c r="B1113" s="10"/>
      <c r="C1113" s="10"/>
      <c r="D1113" t="s">
        <v>2118</v>
      </c>
      <c r="E1113" t="s">
        <v>1132</v>
      </c>
      <c r="F1113" t="s">
        <v>3256</v>
      </c>
      <c r="G1113" s="14" t="s">
        <v>2498</v>
      </c>
      <c r="H1113" s="14">
        <v>1670</v>
      </c>
      <c r="J1113" t="str">
        <f>HYPERLINK("https://jicheng.tw/tcm/book/%e4%be%b6%e5%b1%b1%e5%a0%82%e9%a1%9e%e8%be%af/index.html")</f>
        <v>https://jicheng.tw/tcm/book/%e4%be%b6%e5%b1%b1%e5%a0%82%e9%a1%9e%e8%be%af/index.html</v>
      </c>
    </row>
    <row r="1114" spans="1:10">
      <c r="A1114" s="10" t="s">
        <v>2477</v>
      </c>
      <c r="B1114" s="10"/>
      <c r="C1114" s="10"/>
      <c r="D1114" t="s">
        <v>2119</v>
      </c>
      <c r="E1114" t="s">
        <v>1133</v>
      </c>
      <c r="F1114" t="s">
        <v>3257</v>
      </c>
      <c r="G1114" s="14" t="s">
        <v>2498</v>
      </c>
      <c r="H1114" s="14">
        <v>1902</v>
      </c>
      <c r="J1114" t="str">
        <f>HYPERLINK("https://jicheng.tw/tcm/book/%e9%86%ab%e9%86%ab%e9%86%ab/index.html")</f>
        <v>https://jicheng.tw/tcm/book/%e9%86%ab%e9%86%ab%e9%86%ab/index.html</v>
      </c>
    </row>
    <row r="1115" spans="1:10">
      <c r="A1115" s="10" t="s">
        <v>2477</v>
      </c>
      <c r="B1115" s="10"/>
      <c r="C1115" s="10"/>
      <c r="D1115" t="s">
        <v>2120</v>
      </c>
      <c r="E1115" t="s">
        <v>1134</v>
      </c>
      <c r="F1115" t="s">
        <v>3258</v>
      </c>
      <c r="G1115" s="14" t="s">
        <v>2495</v>
      </c>
      <c r="H1115" s="14">
        <v>1644</v>
      </c>
      <c r="J1115" t="str">
        <f>HYPERLINK("https://jicheng.tw/tcm/book/%e4%b8%8a%e6%b1%a0%e9%9b%9c%e8%aa%aa/index.html")</f>
        <v>https://jicheng.tw/tcm/book/%e4%b8%8a%e6%b1%a0%e9%9b%9c%e8%aa%aa/index.html</v>
      </c>
    </row>
    <row r="1116" spans="1:10">
      <c r="A1116" s="10" t="s">
        <v>2477</v>
      </c>
      <c r="B1116" s="10"/>
      <c r="C1116" s="10"/>
      <c r="D1116" t="s">
        <v>2121</v>
      </c>
      <c r="E1116" t="s">
        <v>1135</v>
      </c>
      <c r="F1116" t="s">
        <v>2682</v>
      </c>
      <c r="G1116" s="14" t="s">
        <v>2498</v>
      </c>
      <c r="H1116" s="14">
        <v>1861</v>
      </c>
      <c r="J1116" t="str">
        <f>HYPERLINK("https://jicheng.tw/tcm/book/%e6%ad%b8%e7%a1%af%e9%8c%84/index.html")</f>
        <v>https://jicheng.tw/tcm/book/%e6%ad%b8%e7%a1%af%e9%8c%84/index.html</v>
      </c>
    </row>
    <row r="1117" spans="1:10">
      <c r="A1117" s="10" t="s">
        <v>2477</v>
      </c>
      <c r="B1117" s="10"/>
      <c r="C1117" s="10"/>
      <c r="D1117" t="s">
        <v>2122</v>
      </c>
      <c r="E1117" t="s">
        <v>1136</v>
      </c>
      <c r="F1117" t="s">
        <v>3259</v>
      </c>
      <c r="G1117" s="14" t="s">
        <v>2501</v>
      </c>
      <c r="H1117" s="14">
        <v>1368</v>
      </c>
      <c r="J1117" t="str">
        <f>HYPERLINK("https://jicheng.tw/tcm/book/%e9%86%ab%e7%b6%93%e6%ba%af%e6%b4%84%e9%9b%86/index.html")</f>
        <v>https://jicheng.tw/tcm/book/%e9%86%ab%e7%b6%93%e6%ba%af%e6%b4%84%e9%9b%86/index.html</v>
      </c>
    </row>
    <row r="1118" spans="1:10">
      <c r="A1118" s="10" t="s">
        <v>2477</v>
      </c>
      <c r="B1118" s="10"/>
      <c r="C1118" s="10"/>
      <c r="D1118" t="s">
        <v>2123</v>
      </c>
      <c r="E1118" t="s">
        <v>1137</v>
      </c>
      <c r="F1118" t="s">
        <v>3260</v>
      </c>
      <c r="G1118" s="14" t="s">
        <v>2498</v>
      </c>
      <c r="H1118" s="14">
        <v>1881</v>
      </c>
      <c r="J1118" t="str">
        <f>HYPERLINK("https://jicheng.tw/tcm/book/%e5%ad%98%e5%ad%98%e9%bd%8b%e9%86%ab%e8%a9%b1%e7%a8%bf/index.html")</f>
        <v>https://jicheng.tw/tcm/book/%e5%ad%98%e5%ad%98%e9%bd%8b%e9%86%ab%e8%a9%b1%e7%a8%bf/index.html</v>
      </c>
    </row>
    <row r="1119" spans="1:10">
      <c r="A1119" s="10" t="s">
        <v>2477</v>
      </c>
      <c r="B1119" s="10"/>
      <c r="C1119" s="10"/>
      <c r="D1119" t="s">
        <v>2124</v>
      </c>
      <c r="E1119" t="s">
        <v>1138</v>
      </c>
      <c r="F1119" t="s">
        <v>3269</v>
      </c>
      <c r="G1119" s="14" t="s">
        <v>2515</v>
      </c>
      <c r="H1119" s="14">
        <v>1224</v>
      </c>
      <c r="J1119" t="str">
        <f>HYPERLINK("https://jicheng.tw/tcm/book/%e9%86%ab%e8%aa%aa/index.html")</f>
        <v>https://jicheng.tw/tcm/book/%e9%86%ab%e8%aa%aa/index.html</v>
      </c>
    </row>
    <row r="1120" spans="1:10">
      <c r="A1120" s="10" t="s">
        <v>2477</v>
      </c>
      <c r="B1120" s="10"/>
      <c r="C1120" s="10"/>
      <c r="D1120" t="s">
        <v>2125</v>
      </c>
      <c r="E1120" t="s">
        <v>1139</v>
      </c>
      <c r="F1120" t="s">
        <v>3270</v>
      </c>
      <c r="G1120" s="14" t="s">
        <v>2495</v>
      </c>
      <c r="H1120" s="14">
        <v>1545</v>
      </c>
      <c r="J1120" t="str">
        <f>HYPERLINK("https://jicheng.tw/tcm/book/%e7%ba%8c%e9%86%ab%e8%aa%aa/index.html")</f>
        <v>https://jicheng.tw/tcm/book/%e7%ba%8c%e9%86%ab%e8%aa%aa/index.html</v>
      </c>
    </row>
    <row r="1121" spans="1:10">
      <c r="A1121" s="10" t="s">
        <v>2477</v>
      </c>
      <c r="B1121" s="10"/>
      <c r="C1121" s="10"/>
      <c r="D1121" t="s">
        <v>1140</v>
      </c>
      <c r="E1121" t="s">
        <v>1140</v>
      </c>
      <c r="F1121" t="s">
        <v>3271</v>
      </c>
      <c r="G1121" s="14" t="s">
        <v>2495</v>
      </c>
      <c r="H1121" s="14">
        <v>1443</v>
      </c>
      <c r="J1121" t="str">
        <f>HYPERLINK("https://jicheng.tw/tcm/book/%e6%8e%a8%e6%b1%82%e5%b8%ab%e6%84%8f/index.html")</f>
        <v>https://jicheng.tw/tcm/book/%e6%8e%a8%e6%b1%82%e5%b8%ab%e6%84%8f/index.html</v>
      </c>
    </row>
    <row r="1122" spans="1:10">
      <c r="A1122" s="10" t="s">
        <v>2477</v>
      </c>
      <c r="B1122" s="10"/>
      <c r="C1122" s="10"/>
      <c r="D1122" t="s">
        <v>1141</v>
      </c>
      <c r="E1122" t="s">
        <v>1141</v>
      </c>
      <c r="F1122" t="s">
        <v>2493</v>
      </c>
      <c r="G1122" s="14" t="s">
        <v>2501</v>
      </c>
      <c r="H1122" s="14">
        <v>1347</v>
      </c>
      <c r="J1122" t="str">
        <f>HYPERLINK("https://jicheng.tw/tcm/book/%e6%a0%bc%e8%87%b4%e9%a4%98%e8%ab%96/index.html")</f>
        <v>https://jicheng.tw/tcm/book/%e6%a0%bc%e8%87%b4%e9%a4%98%e8%ab%96/index.html</v>
      </c>
    </row>
    <row r="1123" spans="1:10">
      <c r="A1123" s="10" t="s">
        <v>2477</v>
      </c>
      <c r="B1123" s="10"/>
      <c r="C1123" s="10"/>
      <c r="D1123" t="s">
        <v>1142</v>
      </c>
      <c r="E1123" t="s">
        <v>1142</v>
      </c>
      <c r="F1123" t="s">
        <v>2493</v>
      </c>
      <c r="G1123" s="14" t="s">
        <v>2501</v>
      </c>
      <c r="J1123" t="str">
        <f>HYPERLINK("https://jicheng.tw/tcm/book/%e6%a0%bc%e8%87%b4%e9%a4%98%e8%ab%96%5f%31/index.html")</f>
        <v>https://jicheng.tw/tcm/book/%e6%a0%bc%e8%87%b4%e9%a4%98%e8%ab%96%5f%31/index.html</v>
      </c>
    </row>
    <row r="1124" spans="1:10">
      <c r="A1124" s="10" t="s">
        <v>2477</v>
      </c>
      <c r="B1124" s="10"/>
      <c r="C1124" s="10"/>
      <c r="D1124" t="s">
        <v>2126</v>
      </c>
      <c r="E1124" t="s">
        <v>1143</v>
      </c>
      <c r="F1124" t="s">
        <v>3199</v>
      </c>
      <c r="G1124" s="14" t="s">
        <v>2495</v>
      </c>
      <c r="H1124" s="14">
        <v>1573</v>
      </c>
      <c r="J1124" t="str">
        <f>HYPERLINK("https://jicheng.tw/tcm/book/%e9%86%ab%e6%97%a8%e7%b7%92%e9%a4%98/index.html")</f>
        <v>https://jicheng.tw/tcm/book/%e9%86%ab%e6%97%a8%e7%b7%92%e9%a4%98/index.html</v>
      </c>
    </row>
    <row r="1125" spans="1:10">
      <c r="A1125" s="10" t="s">
        <v>2477</v>
      </c>
      <c r="B1125" s="10"/>
      <c r="C1125" s="10"/>
      <c r="D1125" t="s">
        <v>1144</v>
      </c>
      <c r="E1125" t="s">
        <v>1144</v>
      </c>
      <c r="F1125" t="s">
        <v>3272</v>
      </c>
      <c r="G1125" s="14" t="s">
        <v>3111</v>
      </c>
      <c r="H1125" s="14" t="s">
        <v>3144</v>
      </c>
      <c r="J1125" t="str">
        <f>HYPERLINK("https://jicheng.tw/tcm/book/%e8%a4%9a%e6%b0%8f%e9%81%ba%e6%9b%b8/index.html")</f>
        <v>https://jicheng.tw/tcm/book/%e8%a4%9a%e6%b0%8f%e9%81%ba%e6%9b%b8/index.html</v>
      </c>
    </row>
    <row r="1126" spans="1:10">
      <c r="A1126" s="10" t="s">
        <v>2477</v>
      </c>
      <c r="B1126" s="10"/>
      <c r="C1126" s="10"/>
      <c r="D1126" t="s">
        <v>1145</v>
      </c>
      <c r="E1126" t="s">
        <v>1145</v>
      </c>
      <c r="F1126" t="s">
        <v>3273</v>
      </c>
      <c r="G1126" s="14" t="s">
        <v>2498</v>
      </c>
      <c r="J1126" t="str">
        <f>HYPERLINK("https://jicheng.tw/tcm/book/%e5%b1%a5%e9%9c%9c%e9%9b%86/index.html")</f>
        <v>https://jicheng.tw/tcm/book/%e5%b1%a5%e9%9c%9c%e9%9b%86/index.html</v>
      </c>
    </row>
    <row r="1127" spans="1:10">
      <c r="A1127" s="10" t="s">
        <v>2477</v>
      </c>
      <c r="B1127" s="10"/>
      <c r="C1127" s="10"/>
      <c r="D1127" t="s">
        <v>1146</v>
      </c>
      <c r="E1127" t="s">
        <v>1146</v>
      </c>
      <c r="J1127" t="str">
        <f>HYPERLINK("https://jicheng.tw/tcm/book/%e8%a5%bf%e6%b1%a0%e9%9b%86/index.html")</f>
        <v>https://jicheng.tw/tcm/book/%e8%a5%bf%e6%b1%a0%e9%9b%86/index.html</v>
      </c>
    </row>
    <row r="1128" spans="1:10">
      <c r="A1128" s="10" t="s">
        <v>2477</v>
      </c>
      <c r="B1128" s="10"/>
      <c r="C1128" s="10"/>
      <c r="D1128" t="s">
        <v>2127</v>
      </c>
      <c r="E1128" t="s">
        <v>1147</v>
      </c>
      <c r="F1128" t="s">
        <v>3274</v>
      </c>
      <c r="G1128" s="14" t="s">
        <v>2498</v>
      </c>
      <c r="H1128" s="14">
        <v>1656</v>
      </c>
      <c r="J1128" t="str">
        <f>HYPERLINK("https://jicheng.tw/tcm/book/%e5%bf%83%e9%86%ab%e9%9b%86/index.html")</f>
        <v>https://jicheng.tw/tcm/book/%e5%bf%83%e9%86%ab%e9%9b%86/index.html</v>
      </c>
    </row>
    <row r="1129" spans="1:10">
      <c r="A1129" s="10" t="s">
        <v>2477</v>
      </c>
      <c r="B1129" s="10"/>
      <c r="C1129" s="10"/>
      <c r="D1129" t="s">
        <v>2128</v>
      </c>
      <c r="E1129" t="s">
        <v>1148</v>
      </c>
      <c r="J1129" t="str">
        <f>HYPERLINK("https://jicheng.tw/tcm/book/%e6%9f%b3%e5%af%b6%e8%a9%92%e9%86%ab%e8%ab%96%e9%86%ab%e6%a1%88/index.html")</f>
        <v>https://jicheng.tw/tcm/book/%e6%9f%b3%e5%af%b6%e8%a9%92%e9%86%ab%e8%ab%96%e9%86%ab%e6%a1%88/index.html</v>
      </c>
    </row>
    <row r="1130" spans="1:10">
      <c r="A1130" s="10" t="s">
        <v>2477</v>
      </c>
      <c r="B1130" s="10"/>
      <c r="C1130" s="10"/>
      <c r="D1130" t="s">
        <v>2129</v>
      </c>
      <c r="E1130" t="s">
        <v>1149</v>
      </c>
      <c r="F1130" t="s">
        <v>2538</v>
      </c>
      <c r="G1130" s="14" t="s">
        <v>2495</v>
      </c>
      <c r="H1130" s="14">
        <v>1622</v>
      </c>
      <c r="J1130" t="str">
        <f>HYPERLINK("https://jicheng.tw/tcm/book/%e5%85%88%e9%86%92%e9%bd%8b%e9%86%ab%e5%ad%b8%e5%bb%a3%e7%ad%86%e8%a8%98/index.html")</f>
        <v>https://jicheng.tw/tcm/book/%e5%85%88%e9%86%92%e9%bd%8b%e9%86%ab%e5%ad%b8%e5%bb%a3%e7%ad%86%e8%a8%98/index.html</v>
      </c>
    </row>
    <row r="1131" spans="1:10">
      <c r="A1131" s="10" t="s">
        <v>2477</v>
      </c>
      <c r="B1131" s="10"/>
      <c r="C1131" s="10"/>
      <c r="D1131" t="s">
        <v>2130</v>
      </c>
      <c r="E1131" t="s">
        <v>1150</v>
      </c>
      <c r="J1131" t="str">
        <f>HYPERLINK("https://jicheng.tw/tcm/book/%e9%86%ab%e5%ae%b6%e5%bf%83%e6%b3%95/index.html")</f>
        <v>https://jicheng.tw/tcm/book/%e9%86%ab%e5%ae%b6%e5%bf%83%e6%b3%95/index.html</v>
      </c>
    </row>
    <row r="1132" spans="1:10">
      <c r="A1132" s="10" t="s">
        <v>2477</v>
      </c>
      <c r="B1132" s="10"/>
      <c r="C1132" s="10"/>
      <c r="D1132" t="s">
        <v>2131</v>
      </c>
      <c r="E1132" t="s">
        <v>1151</v>
      </c>
      <c r="F1132" t="s">
        <v>3275</v>
      </c>
      <c r="G1132" s="14" t="s">
        <v>2498</v>
      </c>
      <c r="H1132" s="14">
        <v>1825</v>
      </c>
      <c r="J1132" t="str">
        <f>HYPERLINK("https://jicheng.tw/tcm/book/%e9%86%ab%e9%96%80%e6%a3%92%e5%96%9d/index.html")</f>
        <v>https://jicheng.tw/tcm/book/%e9%86%ab%e9%96%80%e6%a3%92%e5%96%9d/index.html</v>
      </c>
    </row>
    <row r="1133" spans="1:10">
      <c r="A1133" s="10" t="s">
        <v>2477</v>
      </c>
      <c r="B1133" s="10"/>
      <c r="C1133" s="10"/>
      <c r="D1133" t="s">
        <v>2132</v>
      </c>
      <c r="E1133" t="s">
        <v>1152</v>
      </c>
      <c r="F1133" t="s">
        <v>2680</v>
      </c>
      <c r="G1133" s="14" t="s">
        <v>2498</v>
      </c>
      <c r="H1133" s="14">
        <v>1814</v>
      </c>
      <c r="J1133" t="str">
        <f>HYPERLINK("https://jicheng.tw/tcm/book/%e5%8f%a4%e6%9b%b8%e9%86%ab%e8%a8%80/index.html")</f>
        <v>https://jicheng.tw/tcm/book/%e5%8f%a4%e6%9b%b8%e9%86%ab%e8%a8%80/index.html</v>
      </c>
    </row>
    <row r="1134" spans="1:10">
      <c r="A1134" s="10" t="s">
        <v>2477</v>
      </c>
      <c r="B1134" s="10"/>
      <c r="C1134" s="10"/>
      <c r="D1134" t="s">
        <v>2133</v>
      </c>
      <c r="E1134" t="s">
        <v>1153</v>
      </c>
      <c r="F1134" t="s">
        <v>3276</v>
      </c>
      <c r="J1134" t="str">
        <f>HYPERLINK("https://jicheng.tw/tcm/book/%e5%85%88%e5%93%b2%e9%86%ab%e8%a9%b1%e9%9b%86/index.html")</f>
        <v>https://jicheng.tw/tcm/book/%e5%85%88%e5%93%b2%e9%86%ab%e8%a9%b1%e9%9b%86/index.html</v>
      </c>
    </row>
    <row r="1135" spans="1:10">
      <c r="A1135" s="10" t="s">
        <v>2477</v>
      </c>
      <c r="B1135" s="10"/>
      <c r="C1135" s="10"/>
      <c r="D1135" t="s">
        <v>2134</v>
      </c>
      <c r="E1135" t="s">
        <v>1154</v>
      </c>
      <c r="F1135" t="s">
        <v>3277</v>
      </c>
      <c r="G1135" s="14" t="s">
        <v>2498</v>
      </c>
      <c r="H1135" s="14">
        <v>1850</v>
      </c>
      <c r="J1135" t="str">
        <f>HYPERLINK("https://jicheng.tw/tcm/book/%e9%86%ab%e7%a0%ad/index.html")</f>
        <v>https://jicheng.tw/tcm/book/%e9%86%ab%e7%a0%ad/index.html</v>
      </c>
    </row>
    <row r="1136" spans="1:10">
      <c r="A1136" s="10" t="s">
        <v>2477</v>
      </c>
      <c r="B1136" s="10"/>
      <c r="C1136" s="10"/>
      <c r="D1136" t="s">
        <v>2135</v>
      </c>
      <c r="E1136" t="s">
        <v>1155</v>
      </c>
      <c r="F1136" t="s">
        <v>3278</v>
      </c>
      <c r="H1136" s="14">
        <v>1851</v>
      </c>
      <c r="J1136" t="str">
        <f>HYPERLINK("https://jicheng.tw/tcm/book/%e8%a8%80%e9%86%ab%e9%81%b8%e8%a9%95/index.html")</f>
        <v>https://jicheng.tw/tcm/book/%e8%a8%80%e9%86%ab%e9%81%b8%e8%a9%95/index.html</v>
      </c>
    </row>
    <row r="1137" spans="1:10">
      <c r="A1137" s="10" t="s">
        <v>2477</v>
      </c>
      <c r="B1137" s="10"/>
      <c r="C1137" s="10"/>
      <c r="D1137" t="s">
        <v>2136</v>
      </c>
      <c r="E1137" t="s">
        <v>1156</v>
      </c>
      <c r="F1137" t="s">
        <v>3279</v>
      </c>
      <c r="G1137" s="14" t="s">
        <v>2498</v>
      </c>
      <c r="H1137" s="14">
        <v>1831</v>
      </c>
      <c r="J1137" t="str">
        <f>HYPERLINK("https://jicheng.tw/tcm/book/%e9%86%ab%e9%86%ab%e7%97%85%e6%9b%b8/index.html")</f>
        <v>https://jicheng.tw/tcm/book/%e9%86%ab%e9%86%ab%e7%97%85%e6%9b%b8/index.html</v>
      </c>
    </row>
    <row r="1138" spans="1:10">
      <c r="A1138" s="10" t="s">
        <v>2477</v>
      </c>
      <c r="B1138" s="10"/>
      <c r="C1138" s="10"/>
      <c r="D1138" t="s">
        <v>2137</v>
      </c>
      <c r="E1138" t="s">
        <v>1157</v>
      </c>
      <c r="F1138" t="s">
        <v>2688</v>
      </c>
      <c r="G1138" s="14" t="s">
        <v>2495</v>
      </c>
      <c r="J1138" t="str">
        <f>HYPERLINK("https://jicheng.tw/tcm/book/%e9%86%ab%e5%ad%b8%e5%8e%9f%e7%90%86/index.html")</f>
        <v>https://jicheng.tw/tcm/book/%e9%86%ab%e5%ad%b8%e5%8e%9f%e7%90%86/index.html</v>
      </c>
    </row>
    <row r="1139" spans="1:10">
      <c r="A1139" s="10" t="s">
        <v>2477</v>
      </c>
      <c r="B1139" s="10"/>
      <c r="C1139" s="10"/>
      <c r="D1139" t="s">
        <v>2138</v>
      </c>
      <c r="E1139" t="s">
        <v>1158</v>
      </c>
      <c r="F1139" t="s">
        <v>3280</v>
      </c>
      <c r="G1139" s="14" t="s">
        <v>2495</v>
      </c>
      <c r="H1139" s="14">
        <v>1641</v>
      </c>
      <c r="J1139" t="str">
        <f>HYPERLINK("https://jicheng.tw/tcm/book/%e9%86%ab%e9%8f%a1/index.html")</f>
        <v>https://jicheng.tw/tcm/book/%e9%86%ab%e9%8f%a1/index.html</v>
      </c>
    </row>
    <row r="1140" spans="1:10">
      <c r="A1140" s="10" t="s">
        <v>2477</v>
      </c>
      <c r="B1140" s="10"/>
      <c r="C1140" s="10"/>
      <c r="D1140" t="s">
        <v>2139</v>
      </c>
      <c r="E1140" t="s">
        <v>1159</v>
      </c>
      <c r="F1140" t="s">
        <v>2644</v>
      </c>
      <c r="G1140" s="14" t="s">
        <v>2495</v>
      </c>
      <c r="H1140" s="14">
        <v>1602</v>
      </c>
      <c r="J1140" t="str">
        <f>HYPERLINK("https://jicheng.tw/tcm/book/%e9%86%ab%e8%be%a8/index.html")</f>
        <v>https://jicheng.tw/tcm/book/%e9%86%ab%e8%be%a8/index.html</v>
      </c>
    </row>
    <row r="1141" spans="1:10">
      <c r="A1141" s="10" t="s">
        <v>2477</v>
      </c>
      <c r="B1141" s="10"/>
      <c r="C1141" s="10"/>
      <c r="D1141" t="s">
        <v>2140</v>
      </c>
      <c r="E1141" t="s">
        <v>1160</v>
      </c>
      <c r="F1141" t="s">
        <v>2644</v>
      </c>
      <c r="G1141" s="14" t="s">
        <v>2495</v>
      </c>
      <c r="J1141" t="str">
        <f>HYPERLINK("https://jicheng.tw/tcm/book/%e9%ac%b1%e5%b2%a1%e9%bd%8b%e9%86%ab%e5%ad%b8%e7%ad%86%e5%a1%b5/index.html")</f>
        <v>https://jicheng.tw/tcm/book/%e9%ac%b1%e5%b2%a1%e9%bd%8b%e9%86%ab%e5%ad%b8%e7%ad%86%e5%a1%b5/index.html</v>
      </c>
    </row>
    <row r="1142" spans="1:10">
      <c r="A1142" s="10" t="s">
        <v>2477</v>
      </c>
      <c r="B1142" s="10"/>
      <c r="C1142" s="10"/>
      <c r="D1142" t="s">
        <v>2141</v>
      </c>
      <c r="E1142" t="s">
        <v>1161</v>
      </c>
      <c r="F1142" t="s">
        <v>3281</v>
      </c>
      <c r="H1142" s="14">
        <v>1628</v>
      </c>
      <c r="J1142" t="str">
        <f>HYPERLINK("https://jicheng.tw/tcm/book/%e9%86%ab%e5%ad%b8%e7%aa%ae%e6%ba%90%e9%9b%86/index.html")</f>
        <v>https://jicheng.tw/tcm/book/%e9%86%ab%e5%ad%b8%e7%aa%ae%e6%ba%90%e9%9b%86/index.html</v>
      </c>
    </row>
    <row r="1143" spans="1:10">
      <c r="A1143" s="10" t="s">
        <v>2477</v>
      </c>
      <c r="B1143" s="10"/>
      <c r="C1143" s="10"/>
      <c r="D1143" t="s">
        <v>2142</v>
      </c>
      <c r="E1143" t="s">
        <v>1162</v>
      </c>
      <c r="F1143" t="s">
        <v>2562</v>
      </c>
      <c r="G1143" s="14" t="s">
        <v>2498</v>
      </c>
      <c r="H1143" s="14">
        <v>1892</v>
      </c>
      <c r="J1143" t="str">
        <f>HYPERLINK("https://jicheng.tw/tcm/book/%e9%86%ab%e6%98%93%e9%80%9a%e8%aa%aa/index.html")</f>
        <v>https://jicheng.tw/tcm/book/%e9%86%ab%e6%98%93%e9%80%9a%e8%aa%aa/index.html</v>
      </c>
    </row>
    <row r="1144" spans="1:10">
      <c r="A1144" s="10" t="s">
        <v>2477</v>
      </c>
      <c r="B1144" s="10"/>
      <c r="C1144" s="10"/>
      <c r="D1144" t="s">
        <v>2143</v>
      </c>
      <c r="E1144" t="s">
        <v>1163</v>
      </c>
      <c r="F1144" t="s">
        <v>2567</v>
      </c>
      <c r="G1144" s="14" t="s">
        <v>2498</v>
      </c>
      <c r="H1144" s="14">
        <v>1764</v>
      </c>
      <c r="J1144" t="str">
        <f>HYPERLINK("https://jicheng.tw/tcm/book/%e9%86%ab%e8%b2%ab%e7%a0%ad/index.html")</f>
        <v>https://jicheng.tw/tcm/book/%e9%86%ab%e8%b2%ab%e7%a0%ad/index.html</v>
      </c>
    </row>
    <row r="1145" spans="1:10">
      <c r="A1145" s="10" t="s">
        <v>2477</v>
      </c>
      <c r="B1145" s="10"/>
      <c r="C1145" s="10"/>
      <c r="D1145" t="s">
        <v>2144</v>
      </c>
      <c r="E1145" t="s">
        <v>1164</v>
      </c>
      <c r="F1145" t="s">
        <v>3282</v>
      </c>
      <c r="H1145" s="14">
        <v>1897</v>
      </c>
      <c r="J1145" t="str">
        <f>HYPERLINK("https://jicheng.tw/tcm/book/%e8%a5%bf%e6%ba%aa%e6%9b%b8%e5%b1%8b%e5%a4%9c%e8%a9%b1%e9%8c%84/index.html")</f>
        <v>https://jicheng.tw/tcm/book/%e8%a5%bf%e6%ba%aa%e6%9b%b8%e5%b1%8b%e5%a4%9c%e8%a9%b1%e9%8c%84/index.html</v>
      </c>
    </row>
    <row r="1146" spans="1:10">
      <c r="A1146" s="10" t="s">
        <v>2477</v>
      </c>
      <c r="B1146" s="10"/>
      <c r="C1146" s="10"/>
      <c r="D1146" t="s">
        <v>1165</v>
      </c>
      <c r="E1146" t="s">
        <v>1165</v>
      </c>
      <c r="F1146" t="s">
        <v>2689</v>
      </c>
      <c r="G1146" s="14" t="s">
        <v>2498</v>
      </c>
      <c r="H1146" s="14">
        <v>1800</v>
      </c>
      <c r="J1146" t="str">
        <f>HYPERLINK("https://jicheng.tw/tcm/book/%e5%8f%a2%e6%a1%82%e5%81%b6%e8%a8%98/index.html")</f>
        <v>https://jicheng.tw/tcm/book/%e5%8f%a2%e6%a1%82%e5%81%b6%e8%a8%98/index.html</v>
      </c>
    </row>
    <row r="1147" spans="1:10">
      <c r="A1147" s="10" t="s">
        <v>2477</v>
      </c>
      <c r="B1147" s="10"/>
      <c r="C1147" s="10"/>
      <c r="D1147" t="s">
        <v>2145</v>
      </c>
      <c r="E1147" t="s">
        <v>1166</v>
      </c>
      <c r="F1147" t="s">
        <v>3283</v>
      </c>
      <c r="G1147" s="14" t="s">
        <v>2498</v>
      </c>
      <c r="H1147" s="14">
        <v>1862</v>
      </c>
      <c r="J1147" t="str">
        <f>HYPERLINK("https://jicheng.tw/tcm/book/%e9%86%ab%e9%a4%98/index.html")</f>
        <v>https://jicheng.tw/tcm/book/%e9%86%ab%e9%a4%98/index.html</v>
      </c>
    </row>
    <row r="1148" spans="1:10">
      <c r="A1148" s="10" t="s">
        <v>2477</v>
      </c>
      <c r="B1148" s="10"/>
      <c r="C1148" s="10"/>
      <c r="D1148" t="s">
        <v>2146</v>
      </c>
      <c r="E1148" t="s">
        <v>1167</v>
      </c>
      <c r="F1148" t="s">
        <v>3284</v>
      </c>
      <c r="G1148" s="14" t="s">
        <v>2498</v>
      </c>
      <c r="H1148" s="14">
        <v>1809</v>
      </c>
      <c r="J1148" t="str">
        <f>HYPERLINK("https://jicheng.tw/tcm/book/%e9%86%ab%e8%b3%b8/index.html")</f>
        <v>https://jicheng.tw/tcm/book/%e9%86%ab%e8%b3%b8/index.html</v>
      </c>
    </row>
    <row r="1149" spans="1:10">
      <c r="A1149" s="10" t="s">
        <v>2477</v>
      </c>
      <c r="B1149" s="10"/>
      <c r="C1149" s="10"/>
      <c r="D1149" t="s">
        <v>1168</v>
      </c>
      <c r="E1149" t="s">
        <v>1168</v>
      </c>
      <c r="F1149" t="s">
        <v>3000</v>
      </c>
      <c r="J1149" t="str">
        <f>HYPERLINK("https://jicheng.tw/tcm/book/%e9%9d%92%e5%9b%8a%e7%91%a3%e6%8e%a2/index.html")</f>
        <v>https://jicheng.tw/tcm/book/%e9%9d%92%e5%9b%8a%e7%91%a3%e6%8e%a2/index.html</v>
      </c>
    </row>
    <row r="1150" spans="1:10">
      <c r="A1150" s="10" t="s">
        <v>2477</v>
      </c>
      <c r="B1150" s="10"/>
      <c r="C1150" s="10"/>
      <c r="D1150" t="s">
        <v>2147</v>
      </c>
      <c r="E1150" t="s">
        <v>1169</v>
      </c>
      <c r="F1150" t="s">
        <v>3285</v>
      </c>
      <c r="J1150" t="str">
        <f>HYPERLINK("https://jicheng.tw/tcm/book/%e9%86%ab%e6%96%b7%e8%88%87%e6%96%a5%e9%86%ab%e6%96%b7/index.html")</f>
        <v>https://jicheng.tw/tcm/book/%e9%86%ab%e6%96%b7%e8%88%87%e6%96%a5%e9%86%ab%e6%96%b7/index.html</v>
      </c>
    </row>
    <row r="1151" spans="1:10">
      <c r="A1151" s="10" t="s">
        <v>2477</v>
      </c>
      <c r="B1151" s="10"/>
      <c r="C1151" s="10"/>
      <c r="D1151" t="s">
        <v>2148</v>
      </c>
      <c r="E1151" t="s">
        <v>1170</v>
      </c>
      <c r="F1151" t="s">
        <v>3286</v>
      </c>
      <c r="J1151" t="str">
        <f>HYPERLINK("https://jicheng.tw/tcm/book/%e7%94%9f%e7%94%9f%e5%a0%82%e6%b2%bb%e9%a9%97/index.html")</f>
        <v>https://jicheng.tw/tcm/book/%e7%94%9f%e7%94%9f%e5%a0%82%e6%b2%bb%e9%a9%97/index.html</v>
      </c>
    </row>
    <row r="1152" spans="1:10">
      <c r="A1152" s="10" t="s">
        <v>2477</v>
      </c>
      <c r="B1152" s="10"/>
      <c r="C1152" s="10"/>
      <c r="D1152" t="s">
        <v>2149</v>
      </c>
      <c r="E1152" t="s">
        <v>1171</v>
      </c>
      <c r="F1152" t="s">
        <v>3287</v>
      </c>
      <c r="J1152" t="str">
        <f>HYPERLINK("https://jicheng.tw/tcm/book/%e5%bb%ba%e6%ae%8a%e9%8c%84/index.html")</f>
        <v>https://jicheng.tw/tcm/book/%e5%bb%ba%e6%ae%8a%e9%8c%84/index.html</v>
      </c>
    </row>
    <row r="1153" spans="1:10">
      <c r="A1153" s="10" t="s">
        <v>2477</v>
      </c>
      <c r="B1153" s="10"/>
      <c r="C1153" s="10"/>
      <c r="D1153" t="s">
        <v>2150</v>
      </c>
      <c r="E1153" t="s">
        <v>1172</v>
      </c>
      <c r="J1153" t="str">
        <f>HYPERLINK("https://jicheng.tw/tcm/book/%e6%af%9b%e5%b0%8d%e5%b1%b1%e9%86%ab%e8%a9%b1/index.html")</f>
        <v>https://jicheng.tw/tcm/book/%e6%af%9b%e5%b0%8d%e5%b1%b1%e9%86%ab%e8%a9%b1/index.html</v>
      </c>
    </row>
    <row r="1154" spans="1:10">
      <c r="A1154" s="10" t="s">
        <v>2477</v>
      </c>
      <c r="B1154" s="10"/>
      <c r="C1154" s="10"/>
      <c r="D1154" t="s">
        <v>1173</v>
      </c>
      <c r="E1154" t="s">
        <v>1173</v>
      </c>
      <c r="J1154" t="str">
        <f>HYPERLINK("https://jicheng.tw/tcm/book/%e7%90%89%e7%90%83%e5%95%8f%e7%ad%94%e5%a5%87%e7%97%85%e8%ab%96/index.html")</f>
        <v>https://jicheng.tw/tcm/book/%e7%90%89%e7%90%83%e5%95%8f%e7%ad%94%e5%a5%87%e7%97%85%e8%ab%96/index.html</v>
      </c>
    </row>
    <row r="1155" spans="1:10">
      <c r="A1155" s="10" t="s">
        <v>2477</v>
      </c>
      <c r="B1155" s="10"/>
      <c r="C1155" s="10"/>
      <c r="D1155" t="s">
        <v>2151</v>
      </c>
      <c r="E1155" t="s">
        <v>1174</v>
      </c>
      <c r="F1155" t="s">
        <v>3288</v>
      </c>
      <c r="G1155" s="14" t="s">
        <v>2498</v>
      </c>
      <c r="J1155" t="str">
        <f>HYPERLINK("https://jicheng.tw/tcm/book/%e9%86%ab%e6%9e%97%e7%91%a3%e8%aa%9e/index.html")</f>
        <v>https://jicheng.tw/tcm/book/%e9%86%ab%e6%9e%97%e7%91%a3%e8%aa%9e/index.html</v>
      </c>
    </row>
    <row r="1156" spans="1:10">
      <c r="A1156" s="10" t="s">
        <v>2477</v>
      </c>
      <c r="B1156" s="10"/>
      <c r="C1156" s="10"/>
      <c r="D1156" t="s">
        <v>2152</v>
      </c>
      <c r="E1156" t="s">
        <v>1175</v>
      </c>
      <c r="F1156" t="s">
        <v>3289</v>
      </c>
      <c r="G1156" s="14" t="s">
        <v>2498</v>
      </c>
      <c r="H1156" s="14">
        <v>1895</v>
      </c>
      <c r="J1156" t="str">
        <f>HYPERLINK("https://jicheng.tw/tcm/book/%e9%86%ab%e7%b2%b9%e7%b2%be%e8%a8%80/index.html")</f>
        <v>https://jicheng.tw/tcm/book/%e9%86%ab%e7%b2%b9%e7%b2%be%e8%a8%80/index.html</v>
      </c>
    </row>
    <row r="1157" spans="1:10">
      <c r="A1157" s="10" t="s">
        <v>2477</v>
      </c>
      <c r="B1157" s="10"/>
      <c r="C1157" s="10"/>
      <c r="D1157" t="s">
        <v>2153</v>
      </c>
      <c r="E1157" t="s">
        <v>1176</v>
      </c>
      <c r="F1157" t="s">
        <v>2685</v>
      </c>
      <c r="G1157" s="14" t="s">
        <v>2498</v>
      </c>
      <c r="J1157" t="str">
        <f>HYPERLINK("https://jicheng.tw/tcm/book/%e5%ad%98%e7%b2%b9%e9%86%ab%e8%a9%b1/index.html")</f>
        <v>https://jicheng.tw/tcm/book/%e5%ad%98%e7%b2%b9%e9%86%ab%e8%a9%b1/index.html</v>
      </c>
    </row>
    <row r="1158" spans="1:10">
      <c r="A1158" s="10" t="s">
        <v>2477</v>
      </c>
      <c r="B1158" s="10"/>
      <c r="C1158" s="10"/>
      <c r="D1158" t="s">
        <v>2154</v>
      </c>
      <c r="E1158" t="s">
        <v>1177</v>
      </c>
      <c r="F1158" t="s">
        <v>3290</v>
      </c>
      <c r="G1158" s="14" t="s">
        <v>2498</v>
      </c>
      <c r="H1158" s="14">
        <v>1693</v>
      </c>
      <c r="J1158" t="str">
        <f>HYPERLINK("https://jicheng.tw/tcm/book/%e5%ae%a2%e7%aa%97%e5%81%b6%e8%ab%87/index.html")</f>
        <v>https://jicheng.tw/tcm/book/%e5%ae%a2%e7%aa%97%e5%81%b6%e8%ab%87/index.html</v>
      </c>
    </row>
    <row r="1159" spans="1:10">
      <c r="A1159" s="10" t="s">
        <v>2477</v>
      </c>
      <c r="B1159" s="10"/>
      <c r="C1159" s="10"/>
      <c r="D1159" t="s">
        <v>1178</v>
      </c>
      <c r="E1159" t="s">
        <v>1178</v>
      </c>
      <c r="F1159" t="s">
        <v>3291</v>
      </c>
      <c r="G1159" s="14" t="s">
        <v>2498</v>
      </c>
      <c r="H1159" s="14">
        <v>1785</v>
      </c>
      <c r="J1159" t="str">
        <f>HYPERLINK("https://jicheng.tw/tcm/book/%e6%80%a1%e5%a0%82%e6%95%a3%e8%a8%98/index.html")</f>
        <v>https://jicheng.tw/tcm/book/%e6%80%a1%e5%a0%82%e6%95%a3%e8%a8%98/index.html</v>
      </c>
    </row>
    <row r="1160" spans="1:10">
      <c r="A1160" s="10" t="s">
        <v>2477</v>
      </c>
      <c r="B1160" s="10"/>
      <c r="C1160" s="10"/>
      <c r="D1160" t="s">
        <v>2155</v>
      </c>
      <c r="E1160" t="s">
        <v>1179</v>
      </c>
      <c r="F1160" t="s">
        <v>3292</v>
      </c>
      <c r="G1160" s="14" t="s">
        <v>2498</v>
      </c>
      <c r="H1160" s="14">
        <v>1838</v>
      </c>
      <c r="J1160" t="str">
        <f>HYPERLINK("https://jicheng.tw/tcm/book/%e9%a1%98%e9%ab%94%e9%86%ab%e8%a9%b1/index.html")</f>
        <v>https://jicheng.tw/tcm/book/%e9%a1%98%e9%ab%94%e9%86%ab%e8%a9%b1/index.html</v>
      </c>
    </row>
    <row r="1161" spans="1:10">
      <c r="A1161" s="10" t="s">
        <v>2477</v>
      </c>
      <c r="B1161" s="10"/>
      <c r="C1161" s="10"/>
      <c r="D1161" t="s">
        <v>2156</v>
      </c>
      <c r="E1161" t="s">
        <v>1180</v>
      </c>
      <c r="J1161" t="str">
        <f>HYPERLINK("https://jicheng.tw/tcm/book/%e6%85%88%e6%bf%9f%e9%86%ab%e8%a9%b1/index.html")</f>
        <v>https://jicheng.tw/tcm/book/%e6%85%88%e6%bf%9f%e9%86%ab%e8%a9%b1/index.html</v>
      </c>
    </row>
    <row r="1162" spans="1:10">
      <c r="A1162" s="10" t="s">
        <v>2477</v>
      </c>
      <c r="B1162" s="10"/>
      <c r="C1162" s="10"/>
      <c r="D1162" t="s">
        <v>2157</v>
      </c>
      <c r="E1162" t="s">
        <v>1181</v>
      </c>
      <c r="J1162" t="str">
        <f>HYPERLINK("https://jicheng.tw/tcm/book/%e6%87%b6%e5%9c%92%e9%86%ab%e8%aa%9e/index.html")</f>
        <v>https://jicheng.tw/tcm/book/%e6%87%b6%e5%9c%92%e9%86%ab%e8%aa%9e/index.html</v>
      </c>
    </row>
    <row r="1163" spans="1:10">
      <c r="A1163" s="10" t="s">
        <v>2477</v>
      </c>
      <c r="B1163" s="10"/>
      <c r="C1163" s="10"/>
      <c r="D1163" t="s">
        <v>2158</v>
      </c>
      <c r="E1163" t="s">
        <v>1182</v>
      </c>
      <c r="F1163" t="s">
        <v>3293</v>
      </c>
      <c r="G1163" s="14" t="s">
        <v>2495</v>
      </c>
      <c r="J1163" t="str">
        <f>HYPERLINK("https://jicheng.tw/tcm/book/%e6%8a%98%e8%82%b1%e6%bc%ab%e9%8c%84/index.html")</f>
        <v>https://jicheng.tw/tcm/book/%e6%8a%98%e8%82%b1%e6%bc%ab%e9%8c%84/index.html</v>
      </c>
    </row>
    <row r="1164" spans="1:10">
      <c r="A1164" s="10" t="s">
        <v>2477</v>
      </c>
      <c r="B1164" s="10"/>
      <c r="C1164" s="10"/>
      <c r="D1164" t="s">
        <v>2159</v>
      </c>
      <c r="E1164" t="s">
        <v>1183</v>
      </c>
      <c r="J1164" t="str">
        <f>HYPERLINK("https://jicheng.tw/tcm/book/%e6%99%af%e6%99%af%e9%86%ab%e8%a9%b1/index.html")</f>
        <v>https://jicheng.tw/tcm/book/%e6%99%af%e6%99%af%e9%86%ab%e8%a9%b1/index.html</v>
      </c>
    </row>
    <row r="1165" spans="1:10">
      <c r="A1165" s="10" t="s">
        <v>2477</v>
      </c>
      <c r="B1165" s="10"/>
      <c r="C1165" s="10"/>
      <c r="D1165" t="s">
        <v>2160</v>
      </c>
      <c r="E1165" t="s">
        <v>1184</v>
      </c>
      <c r="J1165" t="str">
        <f>HYPERLINK("https://jicheng.tw/tcm/book/%e6%99%af%e6%99%af%e5%ae%a4%e9%86%ab%e7%a8%bf%e9%9b%9c%e5%ad%98/index.html")</f>
        <v>https://jicheng.tw/tcm/book/%e6%99%af%e6%99%af%e5%ae%a4%e9%86%ab%e7%a8%bf%e9%9b%9c%e5%ad%98/index.html</v>
      </c>
    </row>
    <row r="1166" spans="1:10">
      <c r="A1166" s="10" t="s">
        <v>2477</v>
      </c>
      <c r="B1166" s="10"/>
      <c r="C1166" s="10"/>
      <c r="D1166" t="s">
        <v>2161</v>
      </c>
      <c r="E1166" t="s">
        <v>1185</v>
      </c>
      <c r="J1166" t="str">
        <f>HYPERLINK("https://jicheng.tw/tcm/book/%e7%95%99%e9%a6%99%e9%a4%a8%e9%86%ab%e8%a9%b1/index.html")</f>
        <v>https://jicheng.tw/tcm/book/%e7%95%99%e9%a6%99%e9%a4%a8%e9%86%ab%e8%a9%b1/index.html</v>
      </c>
    </row>
    <row r="1167" spans="1:10">
      <c r="A1167" s="10" t="s">
        <v>2477</v>
      </c>
      <c r="B1167" s="10"/>
      <c r="C1167" s="10"/>
      <c r="D1167" t="s">
        <v>2162</v>
      </c>
      <c r="E1167" t="s">
        <v>1186</v>
      </c>
      <c r="J1167" t="str">
        <f>HYPERLINK("https://jicheng.tw/tcm/book/%e7%b4%a0%e8%bb%92%e9%86%ab%e8%aa%9e/index.html")</f>
        <v>https://jicheng.tw/tcm/book/%e7%b4%a0%e8%bb%92%e9%86%ab%e8%aa%9e/index.html</v>
      </c>
    </row>
    <row r="1168" spans="1:10">
      <c r="A1168" s="10" t="s">
        <v>2477</v>
      </c>
      <c r="B1168" s="10"/>
      <c r="C1168" s="10"/>
      <c r="D1168" t="s">
        <v>2163</v>
      </c>
      <c r="E1168" t="s">
        <v>1187</v>
      </c>
      <c r="F1168" t="s">
        <v>3294</v>
      </c>
      <c r="G1168" s="14" t="s">
        <v>2495</v>
      </c>
      <c r="H1168" s="14">
        <v>1644</v>
      </c>
      <c r="J1168" t="str">
        <f>HYPERLINK("https://jicheng.tw/tcm/book/%e8%a3%b4%e5%ad%90%e8%a8%80%e9%86%ab/index.html")</f>
        <v>https://jicheng.tw/tcm/book/%e8%a3%b4%e5%ad%90%e8%a8%80%e9%86%ab/index.html</v>
      </c>
    </row>
    <row r="1169" spans="1:10">
      <c r="A1169" s="10" t="s">
        <v>2477</v>
      </c>
      <c r="B1169" s="10"/>
      <c r="C1169" s="10"/>
      <c r="D1169" t="s">
        <v>2164</v>
      </c>
      <c r="E1169" t="s">
        <v>1188</v>
      </c>
      <c r="F1169" t="s">
        <v>3295</v>
      </c>
      <c r="J1169" t="str">
        <f>HYPERLINK("https://jicheng.tw/tcm/book/%e8%a6%ba%e5%bb%ac%e9%86%ab%e8%a9%b1%e9%8c%84%e5%ad%98/index.html")</f>
        <v>https://jicheng.tw/tcm/book/%e8%a6%ba%e5%bb%ac%e9%86%ab%e8%a9%b1%e9%8c%84%e5%ad%98/index.html</v>
      </c>
    </row>
    <row r="1170" spans="1:10">
      <c r="A1170" s="10" t="s">
        <v>2477</v>
      </c>
      <c r="B1170" s="10"/>
      <c r="C1170" s="10"/>
      <c r="D1170" t="s">
        <v>2165</v>
      </c>
      <c r="E1170" t="s">
        <v>1189</v>
      </c>
      <c r="J1170" t="str">
        <f>HYPERLINK("https://jicheng.tw/tcm/book/%e8%b0%b7%e8%93%80%e9%86%ab%e8%a9%b1/index.html")</f>
        <v>https://jicheng.tw/tcm/book/%e8%b0%b7%e8%93%80%e9%86%ab%e8%a9%b1/index.html</v>
      </c>
    </row>
    <row r="1171" spans="1:10">
      <c r="A1171" s="10" t="s">
        <v>2477</v>
      </c>
      <c r="B1171" s="10"/>
      <c r="C1171" s="10"/>
      <c r="D1171" t="s">
        <v>2166</v>
      </c>
      <c r="E1171" t="s">
        <v>1190</v>
      </c>
      <c r="J1171" t="str">
        <f>HYPERLINK("https://jicheng.tw/tcm/book/%e9%83%8e%e4%b8%ad%e9%86%ab%e8%a9%b1/index.html")</f>
        <v>https://jicheng.tw/tcm/book/%e9%83%8e%e4%b8%ad%e9%86%ab%e8%a9%b1/index.html</v>
      </c>
    </row>
    <row r="1172" spans="1:10">
      <c r="A1172" s="10" t="s">
        <v>2477</v>
      </c>
      <c r="B1172" s="10"/>
      <c r="C1172" s="10"/>
      <c r="D1172" t="s">
        <v>2167</v>
      </c>
      <c r="E1172" t="s">
        <v>1191</v>
      </c>
      <c r="J1172" t="str">
        <f>HYPERLINK("https://jicheng.tw/tcm/book/%e9%87%91%e8%87%ba%e9%86%ab%e6%a1%88/index.html")</f>
        <v>https://jicheng.tw/tcm/book/%e9%87%91%e8%87%ba%e9%86%ab%e6%a1%88/index.html</v>
      </c>
    </row>
    <row r="1173" spans="1:10">
      <c r="A1173" s="10" t="s">
        <v>2477</v>
      </c>
      <c r="B1173" s="10"/>
      <c r="C1173" s="10"/>
      <c r="D1173" t="s">
        <v>2168</v>
      </c>
      <c r="E1173" t="s">
        <v>1192</v>
      </c>
      <c r="F1173" t="s">
        <v>3296</v>
      </c>
      <c r="G1173" s="14" t="s">
        <v>2498</v>
      </c>
      <c r="J1173" t="str">
        <f>HYPERLINK("https://jicheng.tw/tcm/book/%e9%9d%96%e5%ba%b5%e8%aa%aa%e9%86%ab/index.html")</f>
        <v>https://jicheng.tw/tcm/book/%e9%9d%96%e5%ba%b5%e8%aa%aa%e9%86%ab/index.html</v>
      </c>
    </row>
    <row r="1174" spans="1:10">
      <c r="A1174" s="10" t="s">
        <v>2477</v>
      </c>
      <c r="B1174" s="10"/>
      <c r="C1174" s="10"/>
      <c r="D1174" t="s">
        <v>2169</v>
      </c>
      <c r="E1174" t="s">
        <v>1193</v>
      </c>
      <c r="J1174" t="str">
        <f>HYPERLINK("https://jicheng.tw/tcm/book/%e9%bb%83%e6%b0%8f%e9%86%ab%e8%a9%b1/index.html")</f>
        <v>https://jicheng.tw/tcm/book/%e9%bb%83%e6%b0%8f%e9%86%ab%e8%a9%b1/index.html</v>
      </c>
    </row>
    <row r="1175" spans="1:10">
      <c r="A1175" s="10" t="s">
        <v>2477</v>
      </c>
      <c r="B1175" s="10"/>
      <c r="C1175" s="10"/>
      <c r="D1175" t="s">
        <v>2170</v>
      </c>
      <c r="E1175" t="s">
        <v>1194</v>
      </c>
      <c r="F1175" t="s">
        <v>3297</v>
      </c>
      <c r="G1175" s="14" t="s">
        <v>2498</v>
      </c>
      <c r="H1175" s="14">
        <v>1839</v>
      </c>
      <c r="J1175" t="str">
        <f>HYPERLINK("https://jicheng.tw/tcm/book/%e9%86%ab%e5%ad%b8%e5%82%b3%e5%bf%83%e9%8c%84/index.html")</f>
        <v>https://jicheng.tw/tcm/book/%e9%86%ab%e5%ad%b8%e5%82%b3%e5%bf%83%e9%8c%84/index.html</v>
      </c>
    </row>
    <row r="1176" spans="1:10">
      <c r="A1176" s="10" t="s">
        <v>2477</v>
      </c>
      <c r="B1176" s="10"/>
      <c r="C1176" s="10"/>
      <c r="D1176" t="s">
        <v>2171</v>
      </c>
      <c r="E1176" t="s">
        <v>1195</v>
      </c>
      <c r="J1176" t="str">
        <f>HYPERLINK("https://jicheng.tw/tcm/book/%e9%86%ab%e9%86%ab%e5%8d%81%e7%97%85/index.html")</f>
        <v>https://jicheng.tw/tcm/book/%e9%86%ab%e9%86%ab%e5%8d%81%e7%97%85/index.html</v>
      </c>
    </row>
    <row r="1177" spans="1:10">
      <c r="A1177" s="10" t="s">
        <v>2477</v>
      </c>
      <c r="B1177" s="10"/>
      <c r="C1177" s="10"/>
      <c r="D1177" t="s">
        <v>2172</v>
      </c>
      <c r="E1177" t="s">
        <v>1196</v>
      </c>
      <c r="F1177" t="s">
        <v>3298</v>
      </c>
      <c r="J1177" t="str">
        <f>HYPERLINK("https://jicheng.tw/tcm/book/%e5%a3%ab%e8%ab%a4%e9%86%ab%e8%a9%b1/index.html")</f>
        <v>https://jicheng.tw/tcm/book/%e5%a3%ab%e8%ab%a4%e9%86%ab%e8%a9%b1/index.html</v>
      </c>
    </row>
    <row r="1178" spans="1:10">
      <c r="A1178" s="10" t="s">
        <v>2477</v>
      </c>
      <c r="B1178" s="10"/>
      <c r="C1178" s="10"/>
      <c r="D1178" t="s">
        <v>2173</v>
      </c>
      <c r="E1178" t="s">
        <v>1197</v>
      </c>
      <c r="F1178" t="s">
        <v>3299</v>
      </c>
      <c r="G1178" s="14" t="s">
        <v>3188</v>
      </c>
      <c r="H1178" s="14">
        <v>1938</v>
      </c>
      <c r="J1178" s="4" t="str">
        <f>HYPERLINK("https://jicheng.tw/tcm/book/%E6%AD%A2%E5%9C%92%E9%86%AB%E8%A9%B1/index.html")</f>
        <v>https://jicheng.tw/tcm/book/%E6%AD%A2%E5%9C%92%E9%86%AB%E8%A9%B1/index.html</v>
      </c>
    </row>
    <row r="1179" spans="1:10">
      <c r="A1179" s="10" t="s">
        <v>2477</v>
      </c>
      <c r="B1179" s="10"/>
      <c r="C1179" s="10"/>
      <c r="D1179" t="s">
        <v>2174</v>
      </c>
      <c r="E1179" t="s">
        <v>1198</v>
      </c>
      <c r="F1179" t="s">
        <v>2505</v>
      </c>
      <c r="G1179" s="14" t="s">
        <v>2498</v>
      </c>
      <c r="H1179" s="14">
        <v>1898</v>
      </c>
      <c r="J1179" t="str">
        <f>HYPERLINK("https://jicheng.tw/tcm/book/%e8%ae%80%e9%86%ab%e9%9a%a8%e7%ad%86/index.html")</f>
        <v>https://jicheng.tw/tcm/book/%e8%ae%80%e9%86%ab%e9%9a%a8%e7%ad%86/index.html</v>
      </c>
    </row>
    <row r="1180" spans="1:10">
      <c r="A1180" s="10" t="s">
        <v>2477</v>
      </c>
      <c r="B1180" s="10"/>
      <c r="C1180" s="10"/>
      <c r="D1180" t="s">
        <v>2175</v>
      </c>
      <c r="E1180" t="s">
        <v>1199</v>
      </c>
      <c r="F1180" t="s">
        <v>3300</v>
      </c>
      <c r="G1180" s="14" t="s">
        <v>2498</v>
      </c>
      <c r="H1180" s="14">
        <v>1849</v>
      </c>
      <c r="J1180" t="str">
        <f>HYPERLINK("https://jicheng.tw/tcm/book/%e7%9f%a5%e9%86%ab%e5%bf%85%e8%be%a8/index.html")</f>
        <v>https://jicheng.tw/tcm/book/%e7%9f%a5%e9%86%ab%e5%bf%85%e8%be%a8/index.html</v>
      </c>
    </row>
    <row r="1181" spans="1:10">
      <c r="A1181" s="10" t="s">
        <v>2477</v>
      </c>
      <c r="B1181" s="10"/>
      <c r="C1181" s="10"/>
      <c r="D1181" t="s">
        <v>1200</v>
      </c>
      <c r="E1181" t="s">
        <v>1200</v>
      </c>
      <c r="F1181" t="s">
        <v>2567</v>
      </c>
      <c r="G1181" s="14" t="s">
        <v>2498</v>
      </c>
      <c r="H1181" s="14">
        <v>1767</v>
      </c>
      <c r="J1181" t="str">
        <f>HYPERLINK("https://jicheng.tw/tcm/book/%e6%85%8e%e7%96%be%e8%8a%bb%e8%a8%80/index.html")</f>
        <v>https://jicheng.tw/tcm/book/%e6%85%8e%e7%96%be%e8%8a%bb%e8%a8%80/index.html</v>
      </c>
    </row>
    <row r="1182" spans="1:10">
      <c r="A1182" s="10" t="s">
        <v>2477</v>
      </c>
      <c r="B1182" s="10"/>
      <c r="C1182" s="10"/>
      <c r="D1182" t="s">
        <v>2176</v>
      </c>
      <c r="E1182" t="s">
        <v>1201</v>
      </c>
      <c r="F1182" t="s">
        <v>3301</v>
      </c>
      <c r="G1182" s="14" t="s">
        <v>2498</v>
      </c>
      <c r="H1182" s="14">
        <v>1753</v>
      </c>
      <c r="J1182" t="str">
        <f>HYPERLINK("https://jicheng.tw/tcm/book/%e5%b8%82%e9%9a%b1%e5%bb%ac%e9%86%ab%e5%ad%b8%e9%9b%9c%e8%91%97/index.html")</f>
        <v>https://jicheng.tw/tcm/book/%e5%b8%82%e9%9a%b1%e5%bb%ac%e9%86%ab%e5%ad%b8%e9%9b%9c%e8%91%97/index.html</v>
      </c>
    </row>
    <row r="1183" spans="1:10">
      <c r="A1183" s="10" t="s">
        <v>2477</v>
      </c>
      <c r="B1183" s="10"/>
      <c r="C1183" s="10"/>
      <c r="D1183" t="s">
        <v>2177</v>
      </c>
      <c r="E1183" t="s">
        <v>1202</v>
      </c>
      <c r="F1183" t="s">
        <v>2838</v>
      </c>
      <c r="G1183" s="14" t="s">
        <v>2498</v>
      </c>
      <c r="H1183" s="14">
        <v>1729</v>
      </c>
      <c r="J1183" t="str">
        <f>HYPERLINK("https://jicheng.tw/tcm/book/%e9%86%ab%e5%ad%b8%e8%ae%80%e6%9b%b8%e8%a8%98/index.html")</f>
        <v>https://jicheng.tw/tcm/book/%e9%86%ab%e5%ad%b8%e8%ae%80%e6%9b%b8%e8%a8%98/index.html</v>
      </c>
    </row>
    <row r="1184" spans="1:10">
      <c r="A1184" s="10" t="s">
        <v>2477</v>
      </c>
      <c r="B1184" s="10"/>
      <c r="C1184" s="10"/>
      <c r="D1184" t="s">
        <v>2178</v>
      </c>
      <c r="E1184" t="s">
        <v>1203</v>
      </c>
      <c r="F1184" t="s">
        <v>2611</v>
      </c>
      <c r="G1184" s="14" t="s">
        <v>2498</v>
      </c>
      <c r="H1184" s="14">
        <v>1676</v>
      </c>
      <c r="J1184" t="str">
        <f>HYPERLINK("https://jicheng.tw/tcm/book/%e9%86%ab%e6%9a%87%e5%8d%ae%e8%a8%80/index.html")</f>
        <v>https://jicheng.tw/tcm/book/%e9%86%ab%e6%9a%87%e5%8d%ae%e8%a8%80/index.html</v>
      </c>
    </row>
    <row r="1185" spans="1:10">
      <c r="A1185" s="10" t="s">
        <v>2477</v>
      </c>
      <c r="B1185" s="10"/>
      <c r="C1185" s="10"/>
      <c r="D1185" t="s">
        <v>2179</v>
      </c>
      <c r="E1185" t="s">
        <v>1204</v>
      </c>
      <c r="F1185" t="s">
        <v>3302</v>
      </c>
      <c r="G1185" s="14" t="s">
        <v>2498</v>
      </c>
      <c r="H1185" s="14">
        <v>1808</v>
      </c>
      <c r="J1185" t="str">
        <f>HYPERLINK("https://jicheng.tw/tcm/book/%e9%87%8d%e6%85%b6%e5%a0%82%e9%9a%a8%e7%ad%86/index.html")</f>
        <v>https://jicheng.tw/tcm/book/%e9%87%8d%e6%85%b6%e5%a0%82%e9%9a%a8%e7%ad%86/index.html</v>
      </c>
    </row>
    <row r="1186" spans="1:10">
      <c r="A1186" s="10" t="s">
        <v>2477</v>
      </c>
      <c r="B1186" s="10"/>
      <c r="C1186" s="10"/>
      <c r="D1186" t="s">
        <v>2180</v>
      </c>
      <c r="E1186" t="s">
        <v>1205</v>
      </c>
      <c r="F1186" t="s">
        <v>3303</v>
      </c>
      <c r="G1186" s="14" t="s">
        <v>2498</v>
      </c>
      <c r="J1186" t="str">
        <f>HYPERLINK("https://jicheng.tw/tcm/book/%e9%86%ab%e5%ad%b8%e8%aa%b2%e5%85%92%e7%ad%96/index.html")</f>
        <v>https://jicheng.tw/tcm/book/%e9%86%ab%e5%ad%b8%e8%aa%b2%e5%85%92%e7%ad%96/index.html</v>
      </c>
    </row>
    <row r="1187" spans="1:10">
      <c r="A1187" s="10" t="s">
        <v>2477</v>
      </c>
      <c r="B1187" s="10"/>
      <c r="C1187" s="10"/>
      <c r="D1187" t="s">
        <v>1206</v>
      </c>
      <c r="E1187" t="s">
        <v>1206</v>
      </c>
      <c r="F1187" t="s">
        <v>3304</v>
      </c>
      <c r="G1187" s="14" t="s">
        <v>2498</v>
      </c>
      <c r="H1187" s="14">
        <v>1889</v>
      </c>
      <c r="J1187" t="str">
        <f>HYPERLINK("https://jicheng.tw/tcm/book/%e4%b8%80%e5%be%97%e9%9b%86/index.html")</f>
        <v>https://jicheng.tw/tcm/book/%e4%b8%80%e5%be%97%e9%9b%86/index.html</v>
      </c>
    </row>
    <row r="1188" spans="1:10">
      <c r="A1188" s="10" t="s">
        <v>2477</v>
      </c>
      <c r="B1188" s="10"/>
      <c r="C1188" s="10"/>
      <c r="D1188" t="s">
        <v>2181</v>
      </c>
      <c r="E1188" t="s">
        <v>1207</v>
      </c>
      <c r="F1188" t="s">
        <v>3305</v>
      </c>
      <c r="G1188" s="14" t="s">
        <v>2498</v>
      </c>
      <c r="H1188" s="14">
        <v>1901</v>
      </c>
      <c r="J1188" t="str">
        <f>HYPERLINK("https://jicheng.tw/tcm/book/%e9%86%ab%e9%86%ab%e5%b0%8f%e8%8d%89/index.html")</f>
        <v>https://jicheng.tw/tcm/book/%e9%86%ab%e9%86%ab%e5%b0%8f%e8%8d%89/index.html</v>
      </c>
    </row>
    <row r="1189" spans="1:10">
      <c r="A1189" s="10" t="s">
        <v>2477</v>
      </c>
      <c r="B1189" s="10"/>
      <c r="C1189" s="10"/>
      <c r="D1189" t="s">
        <v>2182</v>
      </c>
      <c r="E1189" t="s">
        <v>1208</v>
      </c>
      <c r="F1189" t="s">
        <v>3306</v>
      </c>
      <c r="G1189" s="14" t="s">
        <v>2498</v>
      </c>
      <c r="H1189" s="14">
        <v>1882</v>
      </c>
      <c r="J1189" t="str">
        <f>HYPERLINK("https://jicheng.tw/tcm/book/%e8%a0%a2%e5%ad%90%e9%86%ab/index.html")</f>
        <v>https://jicheng.tw/tcm/book/%e8%a0%a2%e5%ad%90%e9%86%ab/index.html</v>
      </c>
    </row>
    <row r="1190" spans="1:10">
      <c r="A1190" s="10" t="s">
        <v>2477</v>
      </c>
      <c r="B1190" s="10"/>
      <c r="C1190" s="10"/>
      <c r="D1190" t="s">
        <v>2183</v>
      </c>
      <c r="E1190" t="s">
        <v>1209</v>
      </c>
      <c r="J1190" t="str">
        <f>HYPERLINK("https://jicheng.tw/tcm/book/%e7%8e%8b%e6%a8%82%e4%ba%ad%e6%8c%87%e8%a6%81/index.html")</f>
        <v>https://jicheng.tw/tcm/book/%e7%8e%8b%e6%a8%82%e4%ba%ad%e6%8c%87%e8%a6%81/index.html</v>
      </c>
    </row>
    <row r="1191" spans="1:10">
      <c r="A1191" s="10" t="s">
        <v>2477</v>
      </c>
      <c r="B1191" s="10"/>
      <c r="C1191" s="10"/>
      <c r="D1191" t="s">
        <v>2184</v>
      </c>
      <c r="E1191" t="s">
        <v>1210</v>
      </c>
      <c r="J1191" t="str">
        <f>HYPERLINK("https://jicheng.tw/tcm/book/%e5%a3%bd%e5%b1%b1%e7%ad%86%e8%a8%98/index.html")</f>
        <v>https://jicheng.tw/tcm/book/%e5%a3%bd%e5%b1%b1%e7%ad%86%e8%a8%98/index.html</v>
      </c>
    </row>
    <row r="1192" spans="1:10">
      <c r="A1192" s="10" t="s">
        <v>2477</v>
      </c>
      <c r="B1192" s="10"/>
      <c r="C1192" s="10"/>
      <c r="D1192" t="s">
        <v>2185</v>
      </c>
      <c r="E1192" t="s">
        <v>1211</v>
      </c>
      <c r="J1192" t="str">
        <f>HYPERLINK("https://jicheng.tw/tcm/book/%e7%98%a6%e5%90%9f%e9%86%ab%e8%b4%85/index.html")</f>
        <v>https://jicheng.tw/tcm/book/%e7%98%a6%e5%90%9f%e9%86%ab%e8%b4%85/index.html</v>
      </c>
    </row>
    <row r="1193" spans="1:10">
      <c r="A1193" s="10" t="s">
        <v>2477</v>
      </c>
      <c r="B1193" s="10"/>
      <c r="C1193" s="10"/>
      <c r="D1193" t="s">
        <v>2186</v>
      </c>
      <c r="E1193" t="s">
        <v>1212</v>
      </c>
      <c r="F1193" t="s">
        <v>3307</v>
      </c>
      <c r="G1193" s="14" t="s">
        <v>2498</v>
      </c>
      <c r="H1193" s="14">
        <v>1851</v>
      </c>
      <c r="J1193" t="str">
        <f>HYPERLINK("https://jicheng.tw/tcm/book/%e9%86%ab%e5%ad%b8%e8%ae%80%e6%9b%b8%e5%bf%97/index.html")</f>
        <v>https://jicheng.tw/tcm/book/%e9%86%ab%e5%ad%b8%e8%ae%80%e6%9b%b8%e5%bf%97/index.html</v>
      </c>
    </row>
    <row r="1194" spans="1:10">
      <c r="A1194" s="10" t="s">
        <v>2477</v>
      </c>
      <c r="B1194" s="10"/>
      <c r="C1194" s="10"/>
      <c r="D1194" t="s">
        <v>2187</v>
      </c>
      <c r="E1194" t="s">
        <v>1213</v>
      </c>
      <c r="F1194" t="s">
        <v>2682</v>
      </c>
      <c r="G1194" s="14" t="s">
        <v>2498</v>
      </c>
      <c r="H1194" s="14">
        <v>1862</v>
      </c>
      <c r="J1194" t="str">
        <f>HYPERLINK("https://jicheng.tw/tcm/book/%e4%b9%98%e6%a1%b4%e9%86%ab%e5%bd%b1/index.html")</f>
        <v>https://jicheng.tw/tcm/book/%e4%b9%98%e6%a1%b4%e9%86%ab%e5%bd%b1/index.html</v>
      </c>
    </row>
    <row r="1195" spans="1:10">
      <c r="A1195" s="10" t="s">
        <v>2188</v>
      </c>
      <c r="B1195" s="10"/>
      <c r="C1195" s="10"/>
      <c r="D1195" t="s">
        <v>2189</v>
      </c>
      <c r="E1195" t="s">
        <v>1214</v>
      </c>
      <c r="F1195" t="s">
        <v>2995</v>
      </c>
      <c r="G1195" s="14" t="s">
        <v>2495</v>
      </c>
      <c r="H1195" s="14">
        <v>1687</v>
      </c>
      <c r="J1195" t="str">
        <f>HYPERLINK("https://jicheng.tw/tcm/book/%e9%86%ab%e8%b2%ab/index.html")</f>
        <v>https://jicheng.tw/tcm/book/%e9%86%ab%e8%b2%ab/index.html</v>
      </c>
    </row>
    <row r="1196" spans="1:10">
      <c r="A1196" s="10" t="s">
        <v>2188</v>
      </c>
      <c r="B1196" s="10"/>
      <c r="C1196" s="10"/>
      <c r="D1196" t="s">
        <v>1215</v>
      </c>
      <c r="E1196" t="s">
        <v>1215</v>
      </c>
      <c r="F1196" t="s">
        <v>3172</v>
      </c>
      <c r="G1196" s="14" t="s">
        <v>3173</v>
      </c>
      <c r="H1196" s="14">
        <v>614</v>
      </c>
      <c r="J1196" t="str">
        <f>HYPERLINK("https://jicheng.tw/tcm/book/%e8%ab%b8%e7%97%85%e6%ba%90%e5%80%99%e8%ab%96/index.html")</f>
        <v>https://jicheng.tw/tcm/book/%e8%ab%b8%e7%97%85%e6%ba%90%e5%80%99%e8%ab%96/index.html</v>
      </c>
    </row>
    <row r="1197" spans="1:10">
      <c r="A1197" s="10" t="s">
        <v>2188</v>
      </c>
      <c r="B1197" s="10"/>
      <c r="C1197" s="10"/>
      <c r="D1197" t="s">
        <v>1216</v>
      </c>
      <c r="E1197" t="s">
        <v>1216</v>
      </c>
      <c r="F1197" t="s">
        <v>3172</v>
      </c>
      <c r="G1197" s="14" t="s">
        <v>3173</v>
      </c>
      <c r="J1197" t="str">
        <f>HYPERLINK("https://jicheng.tw/tcm/book/%e8%ab%b8%e7%97%85%e6%ba%90%e5%80%99%e8%ab%96%5f%31/index.html")</f>
        <v>https://jicheng.tw/tcm/book/%e8%ab%b8%e7%97%85%e6%ba%90%e5%80%99%e8%ab%96%5f%31/index.html</v>
      </c>
    </row>
    <row r="1198" spans="1:10">
      <c r="A1198" s="10" t="s">
        <v>2188</v>
      </c>
      <c r="B1198" s="10"/>
      <c r="C1198" s="10"/>
      <c r="D1198" t="s">
        <v>2190</v>
      </c>
      <c r="E1198" t="s">
        <v>1217</v>
      </c>
      <c r="J1198" t="str">
        <f>HYPERLINK("https://jicheng.tw/tcm/book/%e5%85%a8%e9%ab%94%e7%97%85%e6%ba%90%e9%a1%9e%e7%ba%82/index.html")</f>
        <v>https://jicheng.tw/tcm/book/%e5%85%a8%e9%ab%94%e7%97%85%e6%ba%90%e9%a1%9e%e7%ba%82/index.html</v>
      </c>
    </row>
    <row r="1199" spans="1:10">
      <c r="A1199" s="10" t="s">
        <v>2188</v>
      </c>
      <c r="B1199" s="10"/>
      <c r="C1199" s="10"/>
      <c r="D1199" t="s">
        <v>2191</v>
      </c>
      <c r="E1199" t="s">
        <v>1218</v>
      </c>
      <c r="F1199" t="s">
        <v>3308</v>
      </c>
      <c r="G1199" s="14" t="s">
        <v>2498</v>
      </c>
      <c r="J1199" t="str">
        <f>HYPERLINK("https://jicheng.tw/tcm/book/%e5%91%a8%e6%85%8e%e9%bd%8b%e9%81%ba%e6%9b%b8/index.html")</f>
        <v>https://jicheng.tw/tcm/book/%e5%91%a8%e6%85%8e%e9%bd%8b%e9%81%ba%e6%9b%b8/index.html</v>
      </c>
    </row>
    <row r="1200" spans="1:10">
      <c r="A1200" s="10" t="s">
        <v>2188</v>
      </c>
      <c r="B1200" s="10"/>
      <c r="C1200" s="10"/>
      <c r="D1200" t="s">
        <v>2192</v>
      </c>
      <c r="E1200" t="s">
        <v>1219</v>
      </c>
      <c r="F1200" t="s">
        <v>3309</v>
      </c>
      <c r="G1200" s="14" t="s">
        <v>2495</v>
      </c>
      <c r="H1200" s="14">
        <v>1522</v>
      </c>
      <c r="J1200" t="str">
        <f>HYPERLINK("https://jicheng.tw/tcm/book/%e9%9f%93%e6%b0%8f%e9%86%ab%e9%80%9a/index.html")</f>
        <v>https://jicheng.tw/tcm/book/%e9%9f%93%e6%b0%8f%e9%86%ab%e9%80%9a/index.html</v>
      </c>
    </row>
    <row r="1201" spans="1:10">
      <c r="A1201" s="10" t="s">
        <v>2188</v>
      </c>
      <c r="B1201" s="10"/>
      <c r="C1201" s="10"/>
      <c r="D1201" t="s">
        <v>2193</v>
      </c>
      <c r="E1201" t="s">
        <v>1220</v>
      </c>
      <c r="F1201" t="s">
        <v>3310</v>
      </c>
      <c r="G1201" s="14" t="s">
        <v>2498</v>
      </c>
      <c r="H1201" s="14">
        <v>1843</v>
      </c>
      <c r="J1201" t="str">
        <f>HYPERLINK("https://jicheng.tw/tcm/book/%e9%86%ab%e5%ad%b8%e8%88%89%e8%a6%81/index.html")</f>
        <v>https://jicheng.tw/tcm/book/%e9%86%ab%e5%ad%b8%e8%88%89%e8%a6%81/index.html</v>
      </c>
    </row>
    <row r="1202" spans="1:10">
      <c r="A1202" s="10" t="s">
        <v>2188</v>
      </c>
      <c r="B1202" s="10"/>
      <c r="C1202" s="10"/>
      <c r="D1202" t="s">
        <v>1221</v>
      </c>
      <c r="E1202" t="s">
        <v>1221</v>
      </c>
      <c r="F1202" t="s">
        <v>3310</v>
      </c>
      <c r="G1202" s="14" t="s">
        <v>2498</v>
      </c>
      <c r="J1202" t="str">
        <f>HYPERLINK("https://jicheng.tw/tcm/book/%e7%8e%89%e5%8f%b0%e6%96%b0%e6%a1%88%5f%31/index.html")</f>
        <v>https://jicheng.tw/tcm/book/%e7%8e%89%e5%8f%b0%e6%96%b0%e6%a1%88%5f%31/index.html</v>
      </c>
    </row>
    <row r="1203" spans="1:10">
      <c r="A1203" s="10" t="s">
        <v>2188</v>
      </c>
      <c r="B1203" s="10"/>
      <c r="C1203" s="10"/>
      <c r="D1203" t="s">
        <v>2194</v>
      </c>
      <c r="E1203" t="s">
        <v>1222</v>
      </c>
      <c r="F1203" t="s">
        <v>2841</v>
      </c>
      <c r="G1203" s="14" t="s">
        <v>2498</v>
      </c>
      <c r="H1203" s="14">
        <v>1658</v>
      </c>
      <c r="J1203" t="str">
        <f>HYPERLINK("https://jicheng.tw/tcm/book/%e9%86%ab%e9%96%80%e6%b3%95%e5%be%8b/index.html")</f>
        <v>https://jicheng.tw/tcm/book/%e9%86%ab%e9%96%80%e6%b3%95%e5%be%8b/index.html</v>
      </c>
    </row>
    <row r="1204" spans="1:10">
      <c r="A1204" s="10" t="s">
        <v>2188</v>
      </c>
      <c r="B1204" s="10"/>
      <c r="C1204" s="10"/>
      <c r="D1204" t="s">
        <v>2195</v>
      </c>
      <c r="E1204" t="s">
        <v>1223</v>
      </c>
      <c r="F1204" t="s">
        <v>3311</v>
      </c>
      <c r="G1204" s="14" t="s">
        <v>2498</v>
      </c>
      <c r="H1204" s="14">
        <v>1830</v>
      </c>
      <c r="J1204" t="str">
        <f>HYPERLINK("https://jicheng.tw/tcm/book/%e9%86%ab%e6%9e%97%e6%94%b9%e9%8c%af/index.html")</f>
        <v>https://jicheng.tw/tcm/book/%e9%86%ab%e6%9e%97%e6%94%b9%e9%8c%af/index.html</v>
      </c>
    </row>
    <row r="1205" spans="1:10">
      <c r="A1205" s="10" t="s">
        <v>2188</v>
      </c>
      <c r="B1205" s="10"/>
      <c r="C1205" s="10"/>
      <c r="D1205" t="s">
        <v>2196</v>
      </c>
      <c r="E1205" t="s">
        <v>1224</v>
      </c>
      <c r="F1205" t="s">
        <v>3311</v>
      </c>
      <c r="G1205" s="14" t="s">
        <v>2498</v>
      </c>
      <c r="H1205" s="14">
        <v>1830</v>
      </c>
      <c r="J1205" t="str">
        <f>HYPERLINK("https://jicheng.tw/tcm/book/%e9%86%ab%e6%9e%97%e6%94%b9%e9%8c%af%5f%31/index.html")</f>
        <v>https://jicheng.tw/tcm/book/%e9%86%ab%e6%9e%97%e6%94%b9%e9%8c%af%5f%31/index.html</v>
      </c>
    </row>
    <row r="1206" spans="1:10">
      <c r="A1206" s="10" t="s">
        <v>2188</v>
      </c>
      <c r="B1206" s="10"/>
      <c r="C1206" s="10"/>
      <c r="D1206" t="s">
        <v>2197</v>
      </c>
      <c r="E1206" t="s">
        <v>1225</v>
      </c>
      <c r="F1206" t="s">
        <v>3312</v>
      </c>
      <c r="G1206" s="14" t="s">
        <v>2498</v>
      </c>
      <c r="H1206" s="14">
        <v>1834</v>
      </c>
      <c r="J1206" t="str">
        <f>HYPERLINK("https://jicheng.tw/tcm/book/%e7%ad%86%e8%8a%b1%e9%86%ab%e9%8f%a1/index.html")</f>
        <v>https://jicheng.tw/tcm/book/%e7%ad%86%e8%8a%b1%e9%86%ab%e9%8f%a1/index.html</v>
      </c>
    </row>
    <row r="1207" spans="1:10">
      <c r="A1207" s="10" t="s">
        <v>2188</v>
      </c>
      <c r="B1207" s="10"/>
      <c r="C1207" s="10"/>
      <c r="D1207" t="s">
        <v>2198</v>
      </c>
      <c r="E1207" t="s">
        <v>1226</v>
      </c>
      <c r="F1207" t="s">
        <v>3313</v>
      </c>
      <c r="G1207" s="14" t="s">
        <v>2501</v>
      </c>
      <c r="H1207" s="14">
        <v>1775</v>
      </c>
      <c r="J1207" t="str">
        <f>HYPERLINK("https://jicheng.tw/tcm/book/%e8%84%88%e5%9b%a0%e8%ad%89%e6%b2%bb/index.html")</f>
        <v>https://jicheng.tw/tcm/book/%e8%84%88%e5%9b%a0%e8%ad%89%e6%b2%bb/index.html</v>
      </c>
    </row>
    <row r="1208" spans="1:10">
      <c r="A1208" s="10" t="s">
        <v>2188</v>
      </c>
      <c r="B1208" s="10"/>
      <c r="C1208" s="10"/>
      <c r="D1208" t="s">
        <v>1227</v>
      </c>
      <c r="E1208" t="s">
        <v>1227</v>
      </c>
      <c r="F1208" t="s">
        <v>2831</v>
      </c>
      <c r="G1208" s="14" t="s">
        <v>2511</v>
      </c>
      <c r="H1208" s="14">
        <v>1188</v>
      </c>
      <c r="J1208" t="str">
        <f>HYPERLINK("https://jicheng.tw/tcm/book/%e7%b4%a0%e5%95%8f%e7%8e%84%e6%a9%9f%e5%8e%9f%e7%97%85%e5%bc%8f/index.html")</f>
        <v>https://jicheng.tw/tcm/book/%e7%b4%a0%e5%95%8f%e7%8e%84%e6%a9%9f%e5%8e%9f%e7%97%85%e5%bc%8f/index.html</v>
      </c>
    </row>
    <row r="1209" spans="1:10">
      <c r="A1209" s="10" t="s">
        <v>2188</v>
      </c>
      <c r="B1209" s="10"/>
      <c r="C1209" s="10"/>
      <c r="D1209" t="s">
        <v>1228</v>
      </c>
      <c r="E1209" t="s">
        <v>1228</v>
      </c>
      <c r="F1209" t="s">
        <v>2831</v>
      </c>
      <c r="G1209" s="14" t="s">
        <v>2511</v>
      </c>
      <c r="J1209" t="str">
        <f>HYPERLINK("https://jicheng.tw/tcm/book/%e7%b4%a0%e5%95%8f%e7%8e%84%e6%a9%9f%e5%8e%9f%e7%97%85%e5%bc%8f%5f%31/index.html")</f>
        <v>https://jicheng.tw/tcm/book/%e7%b4%a0%e5%95%8f%e7%8e%84%e6%a9%9f%e5%8e%9f%e7%97%85%e5%bc%8f%5f%31/index.html</v>
      </c>
    </row>
    <row r="1210" spans="1:10">
      <c r="A1210" s="10" t="s">
        <v>2188</v>
      </c>
      <c r="B1210" s="10"/>
      <c r="C1210" s="10"/>
      <c r="D1210" t="s">
        <v>2199</v>
      </c>
      <c r="E1210" t="s">
        <v>1229</v>
      </c>
      <c r="F1210" t="s">
        <v>2595</v>
      </c>
      <c r="G1210" s="14" t="s">
        <v>2885</v>
      </c>
      <c r="H1210" s="14" t="s">
        <v>3246</v>
      </c>
      <c r="J1210" t="str">
        <f>HYPERLINK("https://jicheng.tw/tcm/book/%e8%8f%af%e6%b0%8f%e4%b8%ad%e8%97%8f%e7%b6%93/index.html")</f>
        <v>https://jicheng.tw/tcm/book/%e8%8f%af%e6%b0%8f%e4%b8%ad%e8%97%8f%e7%b6%93/index.html</v>
      </c>
    </row>
    <row r="1211" spans="1:10">
      <c r="A1211" s="10" t="s">
        <v>2188</v>
      </c>
      <c r="B1211" s="10"/>
      <c r="C1211" s="10"/>
      <c r="D1211" t="s">
        <v>1230</v>
      </c>
      <c r="E1211" t="s">
        <v>1230</v>
      </c>
      <c r="F1211" t="s">
        <v>3156</v>
      </c>
      <c r="G1211" s="14" t="s">
        <v>2495</v>
      </c>
      <c r="H1211" s="14">
        <v>1573</v>
      </c>
      <c r="J1211" t="str">
        <f>HYPERLINK("https://jicheng.tw/tcm/book/%e8%84%88%e7%97%87%e6%b2%bb%e6%96%b9/index.html")</f>
        <v>https://jicheng.tw/tcm/book/%e8%84%88%e7%97%87%e6%b2%bb%e6%96%b9/index.html</v>
      </c>
    </row>
    <row r="1212" spans="1:10">
      <c r="A1212" s="10" t="s">
        <v>2188</v>
      </c>
      <c r="B1212" s="10"/>
      <c r="C1212" s="10"/>
      <c r="D1212" t="s">
        <v>1231</v>
      </c>
      <c r="E1212" t="s">
        <v>1231</v>
      </c>
      <c r="F1212" t="s">
        <v>3314</v>
      </c>
      <c r="G1212" s="14" t="s">
        <v>2495</v>
      </c>
      <c r="H1212" s="14">
        <v>1706</v>
      </c>
      <c r="J1212" t="str">
        <f>HYPERLINK("https://jicheng.tw/tcm/book/%e7%97%87%e5%9b%a0%e8%84%88%e6%b2%bb/index.html")</f>
        <v>https://jicheng.tw/tcm/book/%e7%97%87%e5%9b%a0%e8%84%88%e6%b2%bb/index.html</v>
      </c>
    </row>
    <row r="1213" spans="1:10">
      <c r="A1213" s="10" t="s">
        <v>2188</v>
      </c>
      <c r="B1213" s="10"/>
      <c r="C1213" s="10"/>
      <c r="D1213" t="s">
        <v>2200</v>
      </c>
      <c r="E1213" t="s">
        <v>1232</v>
      </c>
      <c r="F1213" t="s">
        <v>3315</v>
      </c>
      <c r="G1213" s="14" t="s">
        <v>2498</v>
      </c>
      <c r="H1213" s="14">
        <v>1687</v>
      </c>
      <c r="J1213" t="str">
        <f>HYPERLINK("https://jicheng.tw/tcm/book/%e8%ad%89%e6%b2%bb%e5%bd%99%e8%a3%9c/index.html")</f>
        <v>https://jicheng.tw/tcm/book/%e8%ad%89%e6%b2%bb%e5%bd%99%e8%a3%9c/index.html</v>
      </c>
    </row>
    <row r="1214" spans="1:10">
      <c r="A1214" s="10" t="s">
        <v>2188</v>
      </c>
      <c r="B1214" s="10"/>
      <c r="C1214" s="10"/>
      <c r="D1214" t="s">
        <v>2201</v>
      </c>
      <c r="E1214" t="s">
        <v>1233</v>
      </c>
      <c r="F1214" t="s">
        <v>3316</v>
      </c>
      <c r="G1214" s="14" t="s">
        <v>2498</v>
      </c>
      <c r="H1214" s="14">
        <v>1863</v>
      </c>
      <c r="J1214" t="str">
        <f>HYPERLINK("https://jicheng.tw/tcm/book/%e5%82%85%e9%9d%92%e4%b8%bb%e7%94%b7%e7%a7%91%e9%87%8d%e7%b7%a8%e8%80%83%e9%87%8b/index.html")</f>
        <v>https://jicheng.tw/tcm/book/%e5%82%85%e9%9d%92%e4%b8%bb%e7%94%b7%e7%a7%91%e9%87%8d%e7%b7%a8%e8%80%83%e9%87%8b/index.html</v>
      </c>
    </row>
    <row r="1215" spans="1:10">
      <c r="A1215" s="10" t="s">
        <v>2188</v>
      </c>
      <c r="B1215" s="10"/>
      <c r="C1215" s="10"/>
      <c r="D1215" t="s">
        <v>2202</v>
      </c>
      <c r="E1215" t="s">
        <v>1234</v>
      </c>
      <c r="F1215" t="s">
        <v>2493</v>
      </c>
      <c r="G1215" s="14" t="s">
        <v>2501</v>
      </c>
      <c r="H1215" s="14">
        <v>1358</v>
      </c>
      <c r="J1215" t="str">
        <f>HYPERLINK("https://jicheng.tw/tcm/book/%e9%87%91%e5%8c%b1%e9%89%a4%e7%8e%84/index.html")</f>
        <v>https://jicheng.tw/tcm/book/%e9%87%91%e5%8c%b1%e9%89%a4%e7%8e%84/index.html</v>
      </c>
    </row>
    <row r="1216" spans="1:10">
      <c r="A1216" s="10" t="s">
        <v>2188</v>
      </c>
      <c r="B1216" s="10"/>
      <c r="C1216" s="10"/>
      <c r="D1216" t="s">
        <v>2203</v>
      </c>
      <c r="E1216" t="s">
        <v>1235</v>
      </c>
      <c r="F1216" t="s">
        <v>2493</v>
      </c>
      <c r="G1216" s="14" t="s">
        <v>2501</v>
      </c>
      <c r="J1216" t="str">
        <f>HYPERLINK("https://jicheng.tw/tcm/book/%e9%87%91%e5%8c%b1%e9%89%a4%e7%8e%84%5f%31/index.html")</f>
        <v>https://jicheng.tw/tcm/book/%e9%87%91%e5%8c%b1%e9%89%a4%e7%8e%84%5f%31/index.html</v>
      </c>
    </row>
    <row r="1217" spans="1:10">
      <c r="A1217" s="10" t="s">
        <v>2188</v>
      </c>
      <c r="B1217" s="10"/>
      <c r="C1217" s="10"/>
      <c r="D1217" t="s">
        <v>2204</v>
      </c>
      <c r="E1217" t="s">
        <v>1236</v>
      </c>
      <c r="F1217" t="s">
        <v>3317</v>
      </c>
      <c r="G1217" s="14" t="s">
        <v>3089</v>
      </c>
      <c r="H1217" s="14">
        <v>1481</v>
      </c>
      <c r="J1217" t="str">
        <f>HYPERLINK("https://jicheng.tw/tcm/book/%e4%b8%b9%e6%ba%aa%e5%bf%83%e6%b3%95/index.html")</f>
        <v>https://jicheng.tw/tcm/book/%e4%b8%b9%e6%ba%aa%e5%bf%83%e6%b3%95/index.html</v>
      </c>
    </row>
    <row r="1218" spans="1:10">
      <c r="A1218" s="10" t="s">
        <v>2188</v>
      </c>
      <c r="B1218" s="10"/>
      <c r="C1218" s="10"/>
      <c r="D1218" t="s">
        <v>2205</v>
      </c>
      <c r="E1218" t="s">
        <v>1237</v>
      </c>
      <c r="F1218" t="s">
        <v>2493</v>
      </c>
      <c r="G1218" s="14" t="s">
        <v>2501</v>
      </c>
      <c r="J1218" t="str">
        <f>HYPERLINK("https://jicheng.tw/tcm/book/%e4%b8%b9%e6%ba%aa%e5%bf%83%e6%b3%95%5f%31/index.html")</f>
        <v>https://jicheng.tw/tcm/book/%e4%b8%b9%e6%ba%aa%e5%bf%83%e6%b3%95%5f%31/index.html</v>
      </c>
    </row>
    <row r="1219" spans="1:10">
      <c r="A1219" s="10" t="s">
        <v>2188</v>
      </c>
      <c r="B1219" s="10"/>
      <c r="C1219" s="10"/>
      <c r="D1219" t="s">
        <v>2206</v>
      </c>
      <c r="E1219" t="s">
        <v>1238</v>
      </c>
      <c r="F1219" t="s">
        <v>3318</v>
      </c>
      <c r="G1219" s="14" t="s">
        <v>2495</v>
      </c>
      <c r="J1219" t="str">
        <f>HYPERLINK("https://jicheng.tw/tcm/book/%e4%b8%b9%e6%ba%aa%e5%bf%83%e6%b3%95%e9%99%84%e9%a4%98/index.html")</f>
        <v>https://jicheng.tw/tcm/book/%e4%b8%b9%e6%ba%aa%e5%bf%83%e6%b3%95%e9%99%84%e9%a4%98/index.html</v>
      </c>
    </row>
    <row r="1220" spans="1:10">
      <c r="A1220" s="10" t="s">
        <v>2188</v>
      </c>
      <c r="B1220" s="10"/>
      <c r="C1220" s="10"/>
      <c r="D1220" t="s">
        <v>1239</v>
      </c>
      <c r="E1220" t="s">
        <v>1239</v>
      </c>
      <c r="F1220" t="s">
        <v>3319</v>
      </c>
      <c r="G1220" s="14" t="s">
        <v>2515</v>
      </c>
      <c r="H1220" s="14">
        <v>1146</v>
      </c>
      <c r="J1220" t="str">
        <f>HYPERLINK("https://jicheng.tw/tcm/book/%e6%89%81%e9%b5%b2%e5%bf%83%e6%9b%b8/index.html")</f>
        <v>https://jicheng.tw/tcm/book/%e6%89%81%e9%b5%b2%e5%bf%83%e6%9b%b8/index.html</v>
      </c>
    </row>
    <row r="1221" spans="1:10">
      <c r="A1221" s="10" t="s">
        <v>2188</v>
      </c>
      <c r="B1221" s="10"/>
      <c r="C1221" s="10"/>
      <c r="D1221" t="s">
        <v>2207</v>
      </c>
      <c r="E1221" t="s">
        <v>1240</v>
      </c>
      <c r="F1221" t="s">
        <v>3320</v>
      </c>
      <c r="G1221" s="14" t="s">
        <v>2495</v>
      </c>
      <c r="H1221" s="14">
        <v>1554</v>
      </c>
      <c r="J1221" t="str">
        <f>HYPERLINK("https://jicheng.tw/tcm/book/%e9%86%ab%e6%96%b9%e9%9b%86%e5%ae%9c/index.html")</f>
        <v>https://jicheng.tw/tcm/book/%e9%86%ab%e6%96%b9%e9%9b%86%e5%ae%9c/index.html</v>
      </c>
    </row>
    <row r="1222" spans="1:10">
      <c r="A1222" s="10" t="s">
        <v>2188</v>
      </c>
      <c r="B1222" s="10"/>
      <c r="C1222" s="10"/>
      <c r="D1222" t="s">
        <v>2208</v>
      </c>
      <c r="E1222" t="s">
        <v>1241</v>
      </c>
      <c r="F1222" t="s">
        <v>3321</v>
      </c>
      <c r="G1222" s="14" t="s">
        <v>2498</v>
      </c>
      <c r="H1222" s="14">
        <v>1644</v>
      </c>
      <c r="J1222" t="str">
        <f>HYPERLINK("https://jicheng.tw/tcm/book/%e6%96%b9%e7%97%87%e6%9c%83%e8%a6%81/index.html")</f>
        <v>https://jicheng.tw/tcm/book/%e6%96%b9%e7%97%87%e6%9c%83%e8%a6%81/index.html</v>
      </c>
    </row>
    <row r="1223" spans="1:10">
      <c r="A1223" s="10" t="s">
        <v>2188</v>
      </c>
      <c r="B1223" s="10"/>
      <c r="C1223" s="10"/>
      <c r="D1223" t="s">
        <v>2209</v>
      </c>
      <c r="E1223" t="s">
        <v>1242</v>
      </c>
      <c r="F1223" t="s">
        <v>2712</v>
      </c>
      <c r="G1223" s="14" t="s">
        <v>2498</v>
      </c>
      <c r="H1223" s="14">
        <v>1862</v>
      </c>
      <c r="J1223" t="str">
        <f>HYPERLINK("https://jicheng.tw/tcm/book/%e9%86%ab%e5%ad%b8%e8%8a%bb%e8%a8%80/index.html")</f>
        <v>https://jicheng.tw/tcm/book/%e9%86%ab%e5%ad%b8%e8%8a%bb%e8%a8%80/index.html</v>
      </c>
    </row>
    <row r="1224" spans="1:10">
      <c r="A1224" s="10" t="s">
        <v>2188</v>
      </c>
      <c r="B1224" s="10"/>
      <c r="C1224" s="10"/>
      <c r="D1224" t="s">
        <v>2210</v>
      </c>
      <c r="E1224" t="s">
        <v>1243</v>
      </c>
      <c r="F1224" t="s">
        <v>3322</v>
      </c>
      <c r="G1224" s="14" t="s">
        <v>2501</v>
      </c>
      <c r="J1224" t="str">
        <f>HYPERLINK("https://jicheng.tw/tcm/book/%e5%b9%b3%e6%b2%bb%e6%9c%83%e8%90%83/index.html")</f>
        <v>https://jicheng.tw/tcm/book/%e5%b9%b3%e6%b2%bb%e6%9c%83%e8%90%83/index.html</v>
      </c>
    </row>
    <row r="1225" spans="1:10">
      <c r="A1225" s="10" t="s">
        <v>2188</v>
      </c>
      <c r="B1225" s="10"/>
      <c r="C1225" s="10"/>
      <c r="D1225" t="s">
        <v>2211</v>
      </c>
      <c r="E1225" t="s">
        <v>1244</v>
      </c>
      <c r="F1225" t="s">
        <v>3323</v>
      </c>
      <c r="G1225" s="14" t="s">
        <v>2498</v>
      </c>
      <c r="H1225" s="14">
        <v>1769</v>
      </c>
      <c r="J1225" t="str">
        <f>HYPERLINK("https://jicheng.tw/tcm/book/%e4%b8%80%e8%a6%8b%e8%83%bd%e9%86%ab/index.html")</f>
        <v>https://jicheng.tw/tcm/book/%e4%b8%80%e8%a6%8b%e8%83%bd%e9%86%ab/index.html</v>
      </c>
    </row>
    <row r="1226" spans="1:10">
      <c r="A1226" s="10" t="s">
        <v>2188</v>
      </c>
      <c r="B1226" s="10"/>
      <c r="C1226" s="10"/>
      <c r="D1226" t="s">
        <v>2212</v>
      </c>
      <c r="E1226" t="s">
        <v>1245</v>
      </c>
      <c r="F1226" t="s">
        <v>3324</v>
      </c>
      <c r="G1226" s="14" t="s">
        <v>2495</v>
      </c>
      <c r="H1226" s="14">
        <v>1573</v>
      </c>
      <c r="J1226" t="str">
        <f>HYPERLINK("https://jicheng.tw/tcm/book/%e8%80%83%e8%ad%89%e7%97%85%e6%ba%90/index.html")</f>
        <v>https://jicheng.tw/tcm/book/%e8%80%83%e8%ad%89%e7%97%85%e6%ba%90/index.html</v>
      </c>
    </row>
    <row r="1227" spans="1:10">
      <c r="A1227" s="10" t="s">
        <v>2188</v>
      </c>
      <c r="B1227" s="10"/>
      <c r="C1227" s="10"/>
      <c r="D1227" t="s">
        <v>2213</v>
      </c>
      <c r="E1227" t="s">
        <v>1246</v>
      </c>
      <c r="F1227" t="s">
        <v>3325</v>
      </c>
      <c r="G1227" s="14" t="s">
        <v>2501</v>
      </c>
      <c r="H1227" s="14">
        <v>1543</v>
      </c>
      <c r="J1227" t="str">
        <f>HYPERLINK("https://jicheng.tw/tcm/book/%e4%b8%b9%e6%ba%aa%e6%b2%bb%e6%b3%95%e5%bf%83%e8%a6%81/index.html")</f>
        <v>https://jicheng.tw/tcm/book/%e4%b8%b9%e6%ba%aa%e6%b2%bb%e6%b3%95%e5%bf%83%e8%a6%81/index.html</v>
      </c>
    </row>
    <row r="1228" spans="1:10">
      <c r="A1228" s="10" t="s">
        <v>2188</v>
      </c>
      <c r="B1228" s="10"/>
      <c r="C1228" s="10"/>
      <c r="D1228" t="s">
        <v>2214</v>
      </c>
      <c r="E1228" t="s">
        <v>1247</v>
      </c>
      <c r="F1228" t="s">
        <v>3157</v>
      </c>
      <c r="G1228" s="14" t="s">
        <v>2498</v>
      </c>
      <c r="H1228" s="14">
        <v>1726</v>
      </c>
      <c r="J1228" t="str">
        <f>HYPERLINK("https://jicheng.tw/tcm/book/%e9%99%b8%e5%9c%b0%e4%bb%99%e7%b6%93/index.html")</f>
        <v>https://jicheng.tw/tcm/book/%e9%99%b8%e5%9c%b0%e4%bb%99%e7%b6%93/index.html</v>
      </c>
    </row>
    <row r="1229" spans="1:10">
      <c r="A1229" s="10" t="s">
        <v>2188</v>
      </c>
      <c r="B1229" s="10"/>
      <c r="C1229" s="10"/>
      <c r="D1229" t="s">
        <v>2215</v>
      </c>
      <c r="E1229" t="s">
        <v>1248</v>
      </c>
      <c r="F1229" t="s">
        <v>2641</v>
      </c>
      <c r="G1229" s="14" t="s">
        <v>2495</v>
      </c>
      <c r="H1229" s="14">
        <v>1615</v>
      </c>
      <c r="J1229" t="str">
        <f>HYPERLINK("https://jicheng.tw/tcm/book/%e5%a3%bd%e4%b8%96%e4%bf%9d%e5%85%83/index.html")</f>
        <v>https://jicheng.tw/tcm/book/%e5%a3%bd%e4%b8%96%e4%bf%9d%e5%85%83/index.html</v>
      </c>
    </row>
    <row r="1230" spans="1:10">
      <c r="A1230" s="10" t="s">
        <v>2188</v>
      </c>
      <c r="B1230" s="10"/>
      <c r="C1230" s="10"/>
      <c r="D1230" t="s">
        <v>2216</v>
      </c>
      <c r="E1230" t="s">
        <v>1249</v>
      </c>
      <c r="F1230" t="s">
        <v>2641</v>
      </c>
      <c r="G1230" s="14" t="s">
        <v>2495</v>
      </c>
      <c r="H1230" s="14" t="s">
        <v>3247</v>
      </c>
      <c r="J1230" t="str">
        <f>HYPERLINK("https://jicheng.tw/tcm/book/%e8%97%a5%e6%80%a7%e6%ad%8c%e6%8b%ac%5f%31/index.html")</f>
        <v>https://jicheng.tw/tcm/book/%e8%97%a5%e6%80%a7%e6%ad%8c%e6%8b%ac%5f%31/index.html</v>
      </c>
    </row>
    <row r="1231" spans="1:10">
      <c r="A1231" s="10" t="s">
        <v>2188</v>
      </c>
      <c r="B1231" s="10"/>
      <c r="C1231" s="10"/>
      <c r="D1231" t="s">
        <v>1250</v>
      </c>
      <c r="E1231" t="s">
        <v>1250</v>
      </c>
      <c r="F1231" t="s">
        <v>2972</v>
      </c>
      <c r="G1231" s="14" t="s">
        <v>2501</v>
      </c>
      <c r="H1231" s="14">
        <v>1308</v>
      </c>
      <c r="J1231" t="str">
        <f>HYPERLINK("https://jicheng.tw/tcm/book/%e6%ad%a4%e4%ba%8b%e9%9b%a3%e7%9f%a5/index.html")</f>
        <v>https://jicheng.tw/tcm/book/%e6%ad%a4%e4%ba%8b%e9%9b%a3%e7%9f%a5/index.html</v>
      </c>
    </row>
    <row r="1232" spans="1:10">
      <c r="A1232" s="10" t="s">
        <v>2188</v>
      </c>
      <c r="B1232" s="10"/>
      <c r="C1232" s="10"/>
      <c r="D1232" t="s">
        <v>1251</v>
      </c>
      <c r="E1232" t="s">
        <v>1251</v>
      </c>
      <c r="F1232" t="s">
        <v>2943</v>
      </c>
      <c r="G1232" s="14" t="s">
        <v>2511</v>
      </c>
      <c r="I1232" t="s">
        <v>3248</v>
      </c>
      <c r="J1232" t="str">
        <f>HYPERLINK("https://jicheng.tw/tcm/book/%e6%ad%a4%e4%ba%8b%e9%9b%a3%e7%9f%a5%5f%31/index.html")</f>
        <v>https://jicheng.tw/tcm/book/%e6%ad%a4%e4%ba%8b%e9%9b%a3%e7%9f%a5%5f%31/index.html</v>
      </c>
    </row>
    <row r="1233" spans="1:10">
      <c r="A1233" s="10" t="s">
        <v>2188</v>
      </c>
      <c r="B1233" s="10"/>
      <c r="C1233" s="10"/>
      <c r="D1233" t="s">
        <v>2217</v>
      </c>
      <c r="E1233" t="s">
        <v>1252</v>
      </c>
      <c r="F1233" t="s">
        <v>3326</v>
      </c>
      <c r="G1233" s="14" t="s">
        <v>2495</v>
      </c>
      <c r="H1233" s="14">
        <v>1556</v>
      </c>
      <c r="J1233" t="str">
        <f>HYPERLINK("https://jicheng.tw/tcm/book/%e5%8f%a4%e4%bb%8a%e9%86%ab%e7%b5%b1%e5%a4%a7%e5%85%a8/index.html")</f>
        <v>https://jicheng.tw/tcm/book/%e5%8f%a4%e4%bb%8a%e9%86%ab%e7%b5%b1%e5%a4%a7%e5%85%a8/index.html</v>
      </c>
    </row>
    <row r="1234" spans="1:10">
      <c r="A1234" s="10" t="s">
        <v>2188</v>
      </c>
      <c r="B1234" s="10"/>
      <c r="C1234" s="10"/>
      <c r="D1234" t="s">
        <v>2218</v>
      </c>
      <c r="E1234" t="s">
        <v>1253</v>
      </c>
      <c r="F1234" t="s">
        <v>3327</v>
      </c>
      <c r="G1234" s="14" t="s">
        <v>2495</v>
      </c>
      <c r="H1234" s="14">
        <v>1600</v>
      </c>
      <c r="J1234" t="str">
        <f>HYPERLINK("https://jicheng.tw/tcm/book/%e6%9d%be%e5%b4%96%e9%86%ab%e5%be%91/index.html")</f>
        <v>https://jicheng.tw/tcm/book/%e6%9d%be%e5%b4%96%e9%86%ab%e5%be%91/index.html</v>
      </c>
    </row>
    <row r="1235" spans="1:10">
      <c r="A1235" s="10" t="s">
        <v>2188</v>
      </c>
      <c r="B1235" s="10"/>
      <c r="C1235" s="10"/>
      <c r="D1235" t="s">
        <v>2219</v>
      </c>
      <c r="E1235" t="s">
        <v>1254</v>
      </c>
      <c r="F1235" t="s">
        <v>2972</v>
      </c>
      <c r="G1235" s="14" t="s">
        <v>2501</v>
      </c>
      <c r="H1235" s="14">
        <v>1291</v>
      </c>
      <c r="J1235" t="str">
        <f>HYPERLINK("https://jicheng.tw/tcm/book/%e9%86%ab%e5%a3%98%e5%85%83%e6%88%8e/index.html")</f>
        <v>https://jicheng.tw/tcm/book/%e9%86%ab%e5%a3%98%e5%85%83%e6%88%8e/index.html</v>
      </c>
    </row>
    <row r="1236" spans="1:10">
      <c r="A1236" s="10" t="s">
        <v>2188</v>
      </c>
      <c r="B1236" s="10"/>
      <c r="C1236" s="10"/>
      <c r="D1236" t="s">
        <v>1255</v>
      </c>
      <c r="E1236" t="s">
        <v>1255</v>
      </c>
      <c r="F1236" t="s">
        <v>2972</v>
      </c>
      <c r="G1236" s="14" t="s">
        <v>2501</v>
      </c>
      <c r="J1236" t="str">
        <f>HYPERLINK("https://jicheng.tw/tcm/book/%e6%96%91%e8%ab%96%e8%90%83%e8%8b%b1/index.html")</f>
        <v>https://jicheng.tw/tcm/book/%e6%96%91%e8%ab%96%e8%90%83%e8%8b%b1/index.html</v>
      </c>
    </row>
    <row r="1237" spans="1:10">
      <c r="A1237" s="10" t="s">
        <v>2188</v>
      </c>
      <c r="B1237" s="10"/>
      <c r="C1237" s="10"/>
      <c r="D1237" t="s">
        <v>2220</v>
      </c>
      <c r="E1237" t="s">
        <v>1256</v>
      </c>
      <c r="F1237" t="s">
        <v>3117</v>
      </c>
      <c r="G1237" s="14" t="s">
        <v>2498</v>
      </c>
      <c r="H1237" s="14">
        <v>1883</v>
      </c>
      <c r="J1237" t="str">
        <f>HYPERLINK("https://jicheng.tw/tcm/book/%e9%86%ab%e9%96%80%e8%a3%9c%e8%a6%81/index.html")</f>
        <v>https://jicheng.tw/tcm/book/%e9%86%ab%e9%96%80%e8%a3%9c%e8%a6%81/index.html</v>
      </c>
    </row>
    <row r="1238" spans="1:10">
      <c r="A1238" s="10" t="s">
        <v>2188</v>
      </c>
      <c r="B1238" s="10"/>
      <c r="C1238" s="10"/>
      <c r="D1238" t="s">
        <v>1257</v>
      </c>
      <c r="E1238" t="s">
        <v>1257</v>
      </c>
      <c r="F1238" t="s">
        <v>3328</v>
      </c>
      <c r="G1238" s="14" t="s">
        <v>2495</v>
      </c>
      <c r="H1238" s="14">
        <v>1396</v>
      </c>
      <c r="J1238" t="str">
        <f>HYPERLINK("https://jicheng.tw/tcm/book/%e7%8e%89%e6%a9%9f%e5%be%ae%e7%be%a9/index.html")</f>
        <v>https://jicheng.tw/tcm/book/%e7%8e%89%e6%a9%9f%e5%be%ae%e7%be%a9/index.html</v>
      </c>
    </row>
    <row r="1239" spans="1:10">
      <c r="A1239" s="10" t="s">
        <v>2188</v>
      </c>
      <c r="B1239" s="10"/>
      <c r="C1239" s="10"/>
      <c r="D1239" t="s">
        <v>2221</v>
      </c>
      <c r="E1239" t="s">
        <v>1258</v>
      </c>
      <c r="F1239" t="s">
        <v>3329</v>
      </c>
      <c r="G1239" s="14" t="s">
        <v>2495</v>
      </c>
      <c r="H1239" s="14">
        <v>1589</v>
      </c>
      <c r="J1239" t="str">
        <f>HYPERLINK("https://jicheng.tw/tcm/book/%e5%8f%a4%e4%bb%8a%e9%86%ab%e9%91%91/index.html")</f>
        <v>https://jicheng.tw/tcm/book/%e5%8f%a4%e4%bb%8a%e9%86%ab%e9%91%91/index.html</v>
      </c>
    </row>
    <row r="1240" spans="1:10">
      <c r="A1240" s="10" t="s">
        <v>2188</v>
      </c>
      <c r="B1240" s="10"/>
      <c r="C1240" s="10"/>
      <c r="D1240" t="s">
        <v>2222</v>
      </c>
      <c r="E1240" t="s">
        <v>1259</v>
      </c>
      <c r="F1240" t="s">
        <v>3329</v>
      </c>
      <c r="G1240" s="14" t="s">
        <v>2495</v>
      </c>
      <c r="H1240" s="14">
        <v>1576</v>
      </c>
      <c r="J1240" s="4" t="str">
        <f>HYPERLINK("https://jicheng.tw/tcm/book/%E5%8F%A4%E4%BB%8A%E9%86%AB%E9%91%91%EF%BC%88%E5%88%9D%E5%88%8A%E6%9C%AC%EF%BC%89/index.html")</f>
        <v>https://jicheng.tw/tcm/book/%E5%8F%A4%E4%BB%8A%E9%86%AB%E9%91%91%EF%BC%88%E5%88%9D%E5%88%8A%E6%9C%AC%EF%BC%89/index.html</v>
      </c>
    </row>
    <row r="1241" spans="1:10">
      <c r="A1241" s="10" t="s">
        <v>2188</v>
      </c>
      <c r="B1241" s="10"/>
      <c r="C1241" s="10"/>
      <c r="D1241" t="s">
        <v>2223</v>
      </c>
      <c r="E1241" t="s">
        <v>1260</v>
      </c>
      <c r="F1241" t="s">
        <v>2641</v>
      </c>
      <c r="G1241" s="14" t="s">
        <v>2495</v>
      </c>
      <c r="H1241" s="14">
        <v>1615</v>
      </c>
      <c r="J1241" t="str">
        <f>HYPERLINK("https://jicheng.tw/tcm/book/%e8%90%ac%e7%97%85%e5%9b%9e%e6%98%a5/index.html")</f>
        <v>https://jicheng.tw/tcm/book/%e8%90%ac%e7%97%85%e5%9b%9e%e6%98%a5/index.html</v>
      </c>
    </row>
    <row r="1242" spans="1:10">
      <c r="A1242" s="10" t="s">
        <v>2188</v>
      </c>
      <c r="B1242" s="10"/>
      <c r="C1242" s="10"/>
      <c r="D1242" t="s">
        <v>2224</v>
      </c>
      <c r="E1242" t="s">
        <v>1261</v>
      </c>
      <c r="F1242" t="s">
        <v>3330</v>
      </c>
      <c r="G1242" s="14" t="s">
        <v>2495</v>
      </c>
      <c r="H1242" s="14">
        <v>1502</v>
      </c>
      <c r="J1242" t="str">
        <f>HYPERLINK("https://jicheng.tw/tcm/book/%e6%98%8e%e9%86%ab%e9%9b%9c%e8%91%97/index.html")</f>
        <v>https://jicheng.tw/tcm/book/%e6%98%8e%e9%86%ab%e9%9b%9c%e8%91%97/index.html</v>
      </c>
    </row>
    <row r="1243" spans="1:10">
      <c r="A1243" s="10" t="s">
        <v>2188</v>
      </c>
      <c r="B1243" s="10"/>
      <c r="C1243" s="10"/>
      <c r="D1243" t="s">
        <v>2225</v>
      </c>
      <c r="E1243" t="s">
        <v>1262</v>
      </c>
      <c r="F1243" t="s">
        <v>2943</v>
      </c>
      <c r="G1243" s="14" t="s">
        <v>2511</v>
      </c>
      <c r="H1243" s="14">
        <v>1315</v>
      </c>
      <c r="J1243" t="str">
        <f>HYPERLINK("https://jicheng.tw/tcm/book/%e9%86%ab%e5%ad%b8%e7%99%bc%e6%98%8e/index.html")</f>
        <v>https://jicheng.tw/tcm/book/%e9%86%ab%e5%ad%b8%e7%99%bc%e6%98%8e/index.html</v>
      </c>
    </row>
    <row r="1244" spans="1:10">
      <c r="A1244" s="10" t="s">
        <v>2188</v>
      </c>
      <c r="B1244" s="10"/>
      <c r="C1244" s="10"/>
      <c r="D1244" t="s">
        <v>2226</v>
      </c>
      <c r="E1244" t="s">
        <v>1263</v>
      </c>
      <c r="F1244" t="s">
        <v>3331</v>
      </c>
      <c r="G1244" s="14" t="s">
        <v>2495</v>
      </c>
      <c r="H1244" s="14">
        <v>1621</v>
      </c>
      <c r="J1244" t="str">
        <f>HYPERLINK("https://jicheng.tw/tcm/book/%e4%b8%b9%e6%ba%aa%e6%89%8b%e9%8f%a1/index.html")</f>
        <v>https://jicheng.tw/tcm/book/%e4%b8%b9%e6%ba%aa%e6%89%8b%e9%8f%a1/index.html</v>
      </c>
    </row>
    <row r="1245" spans="1:10">
      <c r="A1245" s="10" t="s">
        <v>2188</v>
      </c>
      <c r="B1245" s="10"/>
      <c r="C1245" s="10"/>
      <c r="D1245" t="s">
        <v>2227</v>
      </c>
      <c r="E1245" t="s">
        <v>1264</v>
      </c>
      <c r="F1245" t="s">
        <v>2659</v>
      </c>
      <c r="G1245" s="14" t="s">
        <v>2498</v>
      </c>
      <c r="H1245" s="14">
        <v>1695</v>
      </c>
      <c r="J1245" t="str">
        <f>HYPERLINK("https://jicheng.tw/tcm/book/%e5%bc%b5%e6%b0%8f%e9%86%ab%e9%80%9a/index.html")</f>
        <v>https://jicheng.tw/tcm/book/%e5%bc%b5%e6%b0%8f%e9%86%ab%e9%80%9a/index.html</v>
      </c>
    </row>
    <row r="1246" spans="1:10">
      <c r="A1246" s="10" t="s">
        <v>2188</v>
      </c>
      <c r="B1246" s="10"/>
      <c r="C1246" s="10"/>
      <c r="D1246" t="s">
        <v>2228</v>
      </c>
      <c r="E1246" t="s">
        <v>1265</v>
      </c>
      <c r="F1246" t="s">
        <v>2659</v>
      </c>
      <c r="G1246" s="14" t="s">
        <v>2498</v>
      </c>
      <c r="J1246" t="str">
        <f>HYPERLINK("https://jicheng.tw/tcm/book/%e5%bc%b5%e6%b0%8f%e9%86%ab%e9%80%9a%5f%31/index.html")</f>
        <v>https://jicheng.tw/tcm/book/%e5%bc%b5%e6%b0%8f%e9%86%ab%e9%80%9a%5f%31/index.html</v>
      </c>
    </row>
    <row r="1247" spans="1:10">
      <c r="A1247" s="10" t="s">
        <v>2188</v>
      </c>
      <c r="B1247" s="10"/>
      <c r="C1247" s="10"/>
      <c r="D1247" t="s">
        <v>2229</v>
      </c>
      <c r="E1247" t="s">
        <v>1266</v>
      </c>
      <c r="F1247" t="s">
        <v>3332</v>
      </c>
      <c r="G1247" s="14" t="s">
        <v>2495</v>
      </c>
      <c r="H1247" s="14">
        <v>1637</v>
      </c>
      <c r="J1247" t="str">
        <f>HYPERLINK("https://jicheng.tw/tcm/book/%e4%b8%b9%e8%87%ba%e7%8e%89%e6%a1%88/index.html")</f>
        <v>https://jicheng.tw/tcm/book/%e4%b8%b9%e8%87%ba%e7%8e%89%e6%a1%88/index.html</v>
      </c>
    </row>
    <row r="1248" spans="1:10">
      <c r="A1248" s="10" t="s">
        <v>2188</v>
      </c>
      <c r="B1248" s="10"/>
      <c r="C1248" s="10"/>
      <c r="D1248" t="s">
        <v>2230</v>
      </c>
      <c r="E1248" t="s">
        <v>1267</v>
      </c>
      <c r="F1248" t="s">
        <v>2652</v>
      </c>
      <c r="G1248" s="14" t="s">
        <v>2498</v>
      </c>
      <c r="H1248" s="14">
        <v>1809</v>
      </c>
      <c r="J1248" t="str">
        <f>HYPERLINK("https://jicheng.tw/tcm/book/%e9%86%ab%e5%ad%b8%e5%af%a6%e5%9c%a8%e6%98%93/index.html")</f>
        <v>https://jicheng.tw/tcm/book/%e9%86%ab%e5%ad%b8%e5%af%a6%e5%9c%a8%e6%98%93/index.html</v>
      </c>
    </row>
    <row r="1249" spans="1:10">
      <c r="A1249" s="10" t="s">
        <v>2188</v>
      </c>
      <c r="B1249" s="10"/>
      <c r="C1249" s="10"/>
      <c r="D1249" t="s">
        <v>2231</v>
      </c>
      <c r="E1249" t="s">
        <v>1268</v>
      </c>
      <c r="F1249" t="s">
        <v>3333</v>
      </c>
      <c r="G1249" s="14" t="s">
        <v>2498</v>
      </c>
      <c r="H1249" s="14">
        <v>1808</v>
      </c>
      <c r="J1249" t="str">
        <f>HYPERLINK("https://jicheng.tw/tcm/book/%e5%8f%a4%e4%bb%8a%e9%86%ab%e5%be%b9/index.html")</f>
        <v>https://jicheng.tw/tcm/book/%e5%8f%a4%e4%bb%8a%e9%86%ab%e5%be%b9/index.html</v>
      </c>
    </row>
    <row r="1250" spans="1:10">
      <c r="A1250" s="10" t="s">
        <v>2188</v>
      </c>
      <c r="B1250" s="10"/>
      <c r="C1250" s="10"/>
      <c r="D1250" t="s">
        <v>1269</v>
      </c>
      <c r="E1250" t="s">
        <v>1269</v>
      </c>
      <c r="F1250" t="s">
        <v>2569</v>
      </c>
      <c r="G1250" s="14" t="s">
        <v>2498</v>
      </c>
      <c r="H1250" s="14">
        <v>1753</v>
      </c>
      <c r="J1250" t="str">
        <f>HYPERLINK("https://jicheng.tw/tcm/book/%e5%9b%9b%e8%81%96%e5%bf%83%e6%ba%90/index.html")</f>
        <v>https://jicheng.tw/tcm/book/%e5%9b%9b%e8%81%96%e5%bf%83%e6%ba%90/index.html</v>
      </c>
    </row>
    <row r="1251" spans="1:10">
      <c r="A1251" s="10" t="s">
        <v>2188</v>
      </c>
      <c r="B1251" s="10"/>
      <c r="C1251" s="10"/>
      <c r="D1251" t="s">
        <v>2232</v>
      </c>
      <c r="E1251" t="s">
        <v>1270</v>
      </c>
      <c r="F1251" t="s">
        <v>3086</v>
      </c>
      <c r="G1251" s="14" t="s">
        <v>2498</v>
      </c>
      <c r="H1251" s="14">
        <v>1732</v>
      </c>
      <c r="J1251" t="str">
        <f>HYPERLINK("https://jicheng.tw/tcm/book/%e9%86%ab%e5%ad%b8%e5%bf%83%e6%82%9f/index.html")</f>
        <v>https://jicheng.tw/tcm/book/%e9%86%ab%e5%ad%b8%e5%bf%83%e6%82%9f/index.html</v>
      </c>
    </row>
    <row r="1252" spans="1:10">
      <c r="A1252" s="10" t="s">
        <v>2188</v>
      </c>
      <c r="B1252" s="10"/>
      <c r="C1252" s="10"/>
      <c r="D1252" t="s">
        <v>2233</v>
      </c>
      <c r="E1252" t="s">
        <v>1271</v>
      </c>
      <c r="F1252" t="s">
        <v>2675</v>
      </c>
      <c r="G1252" s="14" t="s">
        <v>2498</v>
      </c>
      <c r="H1252" s="14">
        <v>1863</v>
      </c>
      <c r="J1252" t="str">
        <f>HYPERLINK("https://jicheng.tw/tcm/book/%e6%a0%a1%e6%b3%a8%e9%86%ab%e9%86%87%e8%b3%b8%e7%be%a9/index.html")</f>
        <v>https://jicheng.tw/tcm/book/%e6%a0%a1%e6%b3%a8%e9%86%ab%e9%86%87%e8%b3%b8%e7%be%a9/index.html</v>
      </c>
    </row>
    <row r="1253" spans="1:10">
      <c r="A1253" s="10" t="s">
        <v>2188</v>
      </c>
      <c r="B1253" s="10"/>
      <c r="C1253" s="10"/>
      <c r="D1253" t="s">
        <v>2234</v>
      </c>
      <c r="E1253" t="s">
        <v>1272</v>
      </c>
      <c r="F1253" t="s">
        <v>3334</v>
      </c>
      <c r="G1253" s="14" t="s">
        <v>2498</v>
      </c>
      <c r="H1253" s="14">
        <v>1851</v>
      </c>
      <c r="J1253" t="str">
        <f>HYPERLINK("https://jicheng.tw/tcm/book/%e9%86%ab%e5%ad%b8%e6%8c%87%e6%ad%b8/index.html")</f>
        <v>https://jicheng.tw/tcm/book/%e9%86%ab%e5%ad%b8%e6%8c%87%e6%ad%b8/index.html</v>
      </c>
    </row>
    <row r="1254" spans="1:10">
      <c r="A1254" s="10" t="s">
        <v>2188</v>
      </c>
      <c r="B1254" s="10"/>
      <c r="C1254" s="10"/>
      <c r="D1254" t="s">
        <v>2235</v>
      </c>
      <c r="E1254" t="s">
        <v>1273</v>
      </c>
      <c r="F1254" t="s">
        <v>2880</v>
      </c>
      <c r="G1254" s="14" t="s">
        <v>2495</v>
      </c>
      <c r="H1254" s="14">
        <v>1388</v>
      </c>
      <c r="J1254" t="str">
        <f>HYPERLINK("https://jicheng.tw/tcm/book/%e9%86%ab%e7%b6%93%e5%b0%8f%e5%ad%b8/index.html")</f>
        <v>https://jicheng.tw/tcm/book/%e9%86%ab%e7%b6%93%e5%b0%8f%e5%ad%b8/index.html</v>
      </c>
    </row>
    <row r="1255" spans="1:10">
      <c r="A1255" s="10" t="s">
        <v>2188</v>
      </c>
      <c r="B1255" s="10"/>
      <c r="C1255" s="10"/>
      <c r="D1255" t="s">
        <v>2236</v>
      </c>
      <c r="E1255" t="s">
        <v>1274</v>
      </c>
      <c r="F1255" t="s">
        <v>3335</v>
      </c>
      <c r="G1255" s="14" t="s">
        <v>2501</v>
      </c>
      <c r="H1255" s="14">
        <v>1343</v>
      </c>
      <c r="J1255" t="str">
        <f>HYPERLINK("https://jicheng.tw/tcm/book/%e8%a1%9b%e7%94%9f%e5%af%b6%e9%91%91/index.html")</f>
        <v>https://jicheng.tw/tcm/book/%e8%a1%9b%e7%94%9f%e5%af%b6%e9%91%91/index.html</v>
      </c>
    </row>
    <row r="1256" spans="1:10">
      <c r="A1256" s="10" t="s">
        <v>2188</v>
      </c>
      <c r="B1256" s="10"/>
      <c r="C1256" s="10"/>
      <c r="D1256" t="s">
        <v>2237</v>
      </c>
      <c r="E1256" t="s">
        <v>1275</v>
      </c>
      <c r="F1256" t="s">
        <v>3336</v>
      </c>
      <c r="G1256" s="14" t="s">
        <v>2495</v>
      </c>
      <c r="H1256" s="14">
        <v>1556</v>
      </c>
      <c r="J1256" t="str">
        <f>HYPERLINK("https://jicheng.tw/tcm/book/%e6%98%8e%e9%86%ab%e6%8c%87%e6%8e%8c/index.html")</f>
        <v>https://jicheng.tw/tcm/book/%e6%98%8e%e9%86%ab%e6%8c%87%e6%8e%8c/index.html</v>
      </c>
    </row>
    <row r="1257" spans="1:10">
      <c r="A1257" s="10" t="s">
        <v>2188</v>
      </c>
      <c r="B1257" s="10"/>
      <c r="C1257" s="10"/>
      <c r="D1257" t="s">
        <v>1276</v>
      </c>
      <c r="E1257" t="s">
        <v>1276</v>
      </c>
      <c r="F1257" t="s">
        <v>3337</v>
      </c>
      <c r="G1257" s="14" t="s">
        <v>2495</v>
      </c>
      <c r="H1257" s="14">
        <v>1644</v>
      </c>
      <c r="J1257" t="str">
        <f>HYPERLINK("https://jicheng.tw/tcm/book/%e8%bb%92%e5%b2%90%e6%95%91%e6%ad%a3%e8%ab%96/index.html")</f>
        <v>https://jicheng.tw/tcm/book/%e8%bb%92%e5%b2%90%e6%95%91%e6%ad%a3%e8%ab%96/index.html</v>
      </c>
    </row>
    <row r="1258" spans="1:10">
      <c r="A1258" s="10" t="s">
        <v>2188</v>
      </c>
      <c r="B1258" s="10"/>
      <c r="C1258" s="10"/>
      <c r="D1258" t="s">
        <v>2238</v>
      </c>
      <c r="E1258" t="s">
        <v>1277</v>
      </c>
      <c r="F1258" t="s">
        <v>2686</v>
      </c>
      <c r="G1258" s="14" t="s">
        <v>2496</v>
      </c>
      <c r="H1258" s="14">
        <v>1174</v>
      </c>
      <c r="J1258" t="str">
        <f>HYPERLINK("https://jicheng.tw/tcm/book/%e4%b8%89%e5%9b%a0%e6%a5%b5%e4%b8%80%e7%97%85%e8%ad%89%e6%96%b9%e8%ab%96/index.html")</f>
        <v>https://jicheng.tw/tcm/book/%e4%b8%89%e5%9b%a0%e6%a5%b5%e4%b8%80%e7%97%85%e8%ad%89%e6%96%b9%e8%ab%96/index.html</v>
      </c>
    </row>
    <row r="1259" spans="1:10">
      <c r="A1259" s="10" t="s">
        <v>2188</v>
      </c>
      <c r="B1259" s="10"/>
      <c r="C1259" s="10"/>
      <c r="D1259" t="s">
        <v>2239</v>
      </c>
      <c r="E1259" t="s">
        <v>1278</v>
      </c>
      <c r="F1259" t="s">
        <v>3338</v>
      </c>
      <c r="G1259" s="14" t="s">
        <v>2495</v>
      </c>
      <c r="H1259" s="14">
        <v>1629</v>
      </c>
      <c r="J1259" t="str">
        <f>HYPERLINK("https://jicheng.tw/tcm/book/%e7%b0%a1%e6%98%8e%e9%86%ab%e5%bd%80/index.html")</f>
        <v>https://jicheng.tw/tcm/book/%e7%b0%a1%e6%98%8e%e9%86%ab%e5%bd%80/index.html</v>
      </c>
    </row>
    <row r="1260" spans="1:10">
      <c r="A1260" s="10" t="s">
        <v>2188</v>
      </c>
      <c r="B1260" s="10"/>
      <c r="C1260" s="10"/>
      <c r="D1260" t="s">
        <v>2240</v>
      </c>
      <c r="E1260" t="s">
        <v>1279</v>
      </c>
      <c r="F1260" t="s">
        <v>2555</v>
      </c>
      <c r="G1260" s="14" t="s">
        <v>2498</v>
      </c>
      <c r="H1260" s="14">
        <v>1687</v>
      </c>
      <c r="J1260" t="str">
        <f>HYPERLINK("https://jicheng.tw/tcm/book/%e7%9f%b3%e5%ae%a4%e7%a7%98%e9%8c%84/index.html")</f>
        <v>https://jicheng.tw/tcm/book/%e7%9f%b3%e5%ae%a4%e7%a7%98%e9%8c%84/index.html</v>
      </c>
    </row>
    <row r="1261" spans="1:10">
      <c r="A1261" s="10" t="s">
        <v>2188</v>
      </c>
      <c r="B1261" s="10"/>
      <c r="C1261" s="10"/>
      <c r="D1261" t="s">
        <v>2241</v>
      </c>
      <c r="E1261" t="s">
        <v>1280</v>
      </c>
      <c r="F1261" t="s">
        <v>3339</v>
      </c>
      <c r="G1261" s="14" t="s">
        <v>2501</v>
      </c>
      <c r="H1261" s="14">
        <v>1314</v>
      </c>
      <c r="J1261" t="str">
        <f>HYPERLINK("https://jicheng.tw/tcm/book/%e9%86%ab%e8%bf%b0/index.html")</f>
        <v>https://jicheng.tw/tcm/book/%e9%86%ab%e8%bf%b0/index.html</v>
      </c>
    </row>
    <row r="1262" spans="1:10">
      <c r="A1262" s="10" t="s">
        <v>2188</v>
      </c>
      <c r="B1262" s="10"/>
      <c r="C1262" s="10"/>
      <c r="D1262" t="s">
        <v>2242</v>
      </c>
      <c r="E1262" t="s">
        <v>1281</v>
      </c>
      <c r="F1262" t="s">
        <v>3340</v>
      </c>
      <c r="G1262" s="14" t="s">
        <v>2498</v>
      </c>
      <c r="H1262" s="14">
        <v>1804</v>
      </c>
      <c r="J1262" t="str">
        <f>HYPERLINK("https://jicheng.tw/tcm/book/%e9%86%ab%e5%ad%b8%e4%b8%89%e5%ad%97%e7%b6%93/index.html")</f>
        <v>https://jicheng.tw/tcm/book/%e9%86%ab%e5%ad%b8%e4%b8%89%e5%ad%97%e7%b6%93/index.html</v>
      </c>
    </row>
    <row r="1263" spans="1:10">
      <c r="A1263" s="10" t="s">
        <v>2188</v>
      </c>
      <c r="B1263" s="10"/>
      <c r="C1263" s="10"/>
      <c r="D1263" t="s">
        <v>2243</v>
      </c>
      <c r="E1263" t="s">
        <v>1282</v>
      </c>
      <c r="F1263" t="s">
        <v>3341</v>
      </c>
      <c r="G1263" s="14" t="s">
        <v>2498</v>
      </c>
      <c r="H1263" s="14">
        <v>1699</v>
      </c>
      <c r="J1263" t="str">
        <f>HYPERLINK("https://jicheng.tw/tcm/book/%e9%86%ab%e5%ad%b8%e7%9c%9f%e5%82%b3/index.html")</f>
        <v>https://jicheng.tw/tcm/book/%e9%86%ab%e5%ad%b8%e7%9c%9f%e5%82%b3/index.html</v>
      </c>
    </row>
    <row r="1264" spans="1:10">
      <c r="A1264" s="10" t="s">
        <v>2188</v>
      </c>
      <c r="B1264" s="10"/>
      <c r="C1264" s="10"/>
      <c r="D1264" t="s">
        <v>2244</v>
      </c>
      <c r="E1264" t="s">
        <v>1283</v>
      </c>
      <c r="F1264" t="s">
        <v>3342</v>
      </c>
      <c r="G1264" s="14" t="s">
        <v>2498</v>
      </c>
      <c r="H1264" s="14">
        <v>1839</v>
      </c>
      <c r="J1264" t="str">
        <f>HYPERLINK("https://jicheng.tw/tcm/book/%e9%a1%9e%e8%ad%89%e6%b2%bb%e8%a3%81/index.html")</f>
        <v>https://jicheng.tw/tcm/book/%e9%a1%9e%e8%ad%89%e6%b2%bb%e8%a3%81/index.html</v>
      </c>
    </row>
    <row r="1265" spans="1:10">
      <c r="A1265" s="10" t="s">
        <v>2188</v>
      </c>
      <c r="B1265" s="10"/>
      <c r="C1265" s="10"/>
      <c r="D1265" t="s">
        <v>2245</v>
      </c>
      <c r="E1265" t="s">
        <v>1284</v>
      </c>
      <c r="F1265" t="s">
        <v>3342</v>
      </c>
      <c r="G1265" s="14" t="s">
        <v>2498</v>
      </c>
      <c r="J1265" t="str">
        <f>HYPERLINK("https://jicheng.tw/tcm/book/%e9%a1%9e%e8%ad%89%e6%b2%bb%e8%a3%81%5f%31/index.html")</f>
        <v>https://jicheng.tw/tcm/book/%e9%a1%9e%e8%ad%89%e6%b2%bb%e8%a3%81%5f%31/index.html</v>
      </c>
    </row>
    <row r="1266" spans="1:10">
      <c r="A1266" s="10" t="s">
        <v>2188</v>
      </c>
      <c r="B1266" s="10"/>
      <c r="C1266" s="10"/>
      <c r="D1266" t="s">
        <v>2246</v>
      </c>
      <c r="E1266" t="s">
        <v>1285</v>
      </c>
      <c r="F1266" t="s">
        <v>3343</v>
      </c>
      <c r="G1266" s="14" t="s">
        <v>3344</v>
      </c>
      <c r="H1266" s="14">
        <v>1276</v>
      </c>
      <c r="J1266" t="str">
        <f>HYPERLINK("https://jicheng.tw/tcm/book/%e8%98%ad%e5%ae%a4%e7%a7%98%e8%97%8f/index.html")</f>
        <v>https://jicheng.tw/tcm/book/%e8%98%ad%e5%ae%a4%e7%a7%98%e8%97%8f/index.html</v>
      </c>
    </row>
    <row r="1267" spans="1:10">
      <c r="A1267" s="10" t="s">
        <v>2188</v>
      </c>
      <c r="B1267" s="10"/>
      <c r="C1267" s="10"/>
      <c r="D1267" t="s">
        <v>2247</v>
      </c>
      <c r="E1267" t="s">
        <v>1286</v>
      </c>
      <c r="F1267" t="s">
        <v>3343</v>
      </c>
      <c r="G1267" s="14" t="s">
        <v>3344</v>
      </c>
      <c r="I1267" t="s">
        <v>3261</v>
      </c>
      <c r="J1267" t="str">
        <f>HYPERLINK("https://jicheng.tw/tcm/book/%e8%98%ad%e5%ae%a4%e7%a7%98%e8%97%8f%5f%31/index.html")</f>
        <v>https://jicheng.tw/tcm/book/%e8%98%ad%e5%ae%a4%e7%a7%98%e8%97%8f%5f%31/index.html</v>
      </c>
    </row>
    <row r="1268" spans="1:10">
      <c r="A1268" s="10" t="s">
        <v>2188</v>
      </c>
      <c r="B1268" s="10"/>
      <c r="C1268" s="10"/>
      <c r="D1268" t="s">
        <v>2248</v>
      </c>
      <c r="E1268" t="s">
        <v>1287</v>
      </c>
      <c r="F1268" t="s">
        <v>3345</v>
      </c>
      <c r="G1268" s="14" t="s">
        <v>2498</v>
      </c>
      <c r="H1268" s="14">
        <v>1873</v>
      </c>
      <c r="J1268" t="str">
        <f>HYPERLINK("https://jicheng.tw/tcm/book/%e9%86%ab%e5%ad%b8%e8%a6%8b%e8%83%bd/index.html")</f>
        <v>https://jicheng.tw/tcm/book/%e9%86%ab%e5%ad%b8%e8%a6%8b%e8%83%bd/index.html</v>
      </c>
    </row>
    <row r="1269" spans="1:10">
      <c r="A1269" s="10" t="s">
        <v>2188</v>
      </c>
      <c r="B1269" s="10"/>
      <c r="C1269" s="10"/>
      <c r="D1269" t="s">
        <v>1288</v>
      </c>
      <c r="E1269" t="s">
        <v>1288</v>
      </c>
      <c r="F1269" t="s">
        <v>3346</v>
      </c>
      <c r="G1269" s="14" t="s">
        <v>3344</v>
      </c>
      <c r="H1269" s="14">
        <v>1228</v>
      </c>
      <c r="J1269" t="str">
        <f>HYPERLINK("https://jicheng.tw/tcm/book/%e5%84%92%e9%96%80%e4%ba%8b%e8%a6%aa/index.html")</f>
        <v>https://jicheng.tw/tcm/book/%e5%84%92%e9%96%80%e4%ba%8b%e8%a6%aa/index.html</v>
      </c>
    </row>
    <row r="1270" spans="1:10">
      <c r="A1270" s="10" t="s">
        <v>2188</v>
      </c>
      <c r="B1270" s="10"/>
      <c r="C1270" s="10"/>
      <c r="D1270" t="s">
        <v>1289</v>
      </c>
      <c r="E1270" t="s">
        <v>1289</v>
      </c>
      <c r="F1270" t="s">
        <v>3346</v>
      </c>
      <c r="G1270" s="14" t="s">
        <v>3344</v>
      </c>
      <c r="I1270" t="s">
        <v>3262</v>
      </c>
      <c r="J1270" t="str">
        <f>HYPERLINK("https://jicheng.tw/tcm/book/%e5%84%92%e9%96%80%e4%ba%8b%e8%a6%aa%5f%31/index.html")</f>
        <v>https://jicheng.tw/tcm/book/%e5%84%92%e9%96%80%e4%ba%8b%e8%a6%aa%5f%31/index.html</v>
      </c>
    </row>
    <row r="1271" spans="1:10">
      <c r="A1271" s="10" t="s">
        <v>2188</v>
      </c>
      <c r="B1271" s="10"/>
      <c r="C1271" s="10"/>
      <c r="D1271" t="s">
        <v>2249</v>
      </c>
      <c r="E1271" t="s">
        <v>1290</v>
      </c>
      <c r="F1271" t="s">
        <v>3347</v>
      </c>
      <c r="G1271" s="14" t="s">
        <v>2498</v>
      </c>
      <c r="H1271" s="14">
        <v>1773</v>
      </c>
      <c r="J1271" t="str">
        <f>HYPERLINK("https://jicheng.tw/tcm/book/%e9%9b%9c%e7%97%85%e6%ba%90%e6%b5%81%e7%8a%80%e7%87%ad/index.html")</f>
        <v>https://jicheng.tw/tcm/book/%e9%9b%9c%e7%97%85%e6%ba%90%e6%b5%81%e7%8a%80%e7%87%ad/index.html</v>
      </c>
    </row>
    <row r="1272" spans="1:10">
      <c r="A1272" s="10" t="s">
        <v>2188</v>
      </c>
      <c r="B1272" s="10"/>
      <c r="C1272" s="10"/>
      <c r="D1272" t="s">
        <v>2250</v>
      </c>
      <c r="E1272" t="s">
        <v>1291</v>
      </c>
      <c r="F1272" t="s">
        <v>3340</v>
      </c>
      <c r="G1272" s="14" t="s">
        <v>2498</v>
      </c>
      <c r="H1272" s="14">
        <v>1803</v>
      </c>
      <c r="J1272" t="str">
        <f>HYPERLINK("https://jicheng.tw/tcm/book/%e9%86%ab%e9%86%ab%e5%81%b6%e9%8c%84/index.html")</f>
        <v>https://jicheng.tw/tcm/book/%e9%86%ab%e9%86%ab%e5%81%b6%e9%8c%84/index.html</v>
      </c>
    </row>
    <row r="1273" spans="1:10">
      <c r="A1273" s="10" t="s">
        <v>2188</v>
      </c>
      <c r="B1273" s="10"/>
      <c r="C1273" s="10"/>
      <c r="D1273" t="s">
        <v>2251</v>
      </c>
      <c r="E1273" t="s">
        <v>1292</v>
      </c>
      <c r="F1273" t="s">
        <v>3348</v>
      </c>
      <c r="G1273" s="14" t="s">
        <v>2498</v>
      </c>
      <c r="H1273" s="14">
        <v>1725</v>
      </c>
      <c r="J1273" t="str">
        <f>HYPERLINK("https://jicheng.tw/tcm/book/%e9%86%ab%e5%ae%97%e5%b7%b1%e4%bb%bb%e7%b7%a8/index.html")</f>
        <v>https://jicheng.tw/tcm/book/%e9%86%ab%e5%ae%97%e5%b7%b1%e4%bb%bb%e7%b7%a8/index.html</v>
      </c>
    </row>
    <row r="1274" spans="1:10">
      <c r="A1274" s="10" t="s">
        <v>2188</v>
      </c>
      <c r="B1274" s="10"/>
      <c r="C1274" s="10"/>
      <c r="D1274" t="s">
        <v>2252</v>
      </c>
      <c r="E1274" t="s">
        <v>1293</v>
      </c>
      <c r="F1274" t="s">
        <v>3349</v>
      </c>
      <c r="G1274" s="14" t="s">
        <v>2495</v>
      </c>
      <c r="H1274" s="14">
        <v>1443</v>
      </c>
      <c r="J1274" t="str">
        <f>HYPERLINK("https://jicheng.tw/tcm/book/%e7%a7%98%e5%82%b3%e8%ad%89%e6%b2%bb%e8%a6%81%e8%a8%a3%e5%8f%8a%e9%a1%9e%e6%96%b9/index.html")</f>
        <v>https://jicheng.tw/tcm/book/%e7%a7%98%e5%82%b3%e8%ad%89%e6%b2%bb%e8%a6%81%e8%a8%a3%e5%8f%8a%e9%a1%9e%e6%96%b9/index.html</v>
      </c>
    </row>
    <row r="1275" spans="1:10">
      <c r="A1275" s="10" t="s">
        <v>2188</v>
      </c>
      <c r="B1275" s="10"/>
      <c r="C1275" s="10"/>
      <c r="D1275" t="s">
        <v>2253</v>
      </c>
      <c r="E1275" t="s">
        <v>1294</v>
      </c>
      <c r="F1275" t="s">
        <v>3350</v>
      </c>
      <c r="G1275" s="14" t="s">
        <v>2498</v>
      </c>
      <c r="H1275" s="14">
        <v>1897</v>
      </c>
      <c r="J1275" t="str">
        <f>HYPERLINK("https://jicheng.tw/tcm/book/%e9%86%ab%e5%ad%b8%e6%91%98%e7%b2%b9/index.html")</f>
        <v>https://jicheng.tw/tcm/book/%e9%86%ab%e5%ad%b8%e6%91%98%e7%b2%b9/index.html</v>
      </c>
    </row>
    <row r="1276" spans="1:10">
      <c r="A1276" s="10" t="s">
        <v>2188</v>
      </c>
      <c r="B1276" s="10"/>
      <c r="C1276" s="10"/>
      <c r="D1276" t="s">
        <v>2254</v>
      </c>
      <c r="E1276" t="s">
        <v>1295</v>
      </c>
      <c r="F1276" t="s">
        <v>3351</v>
      </c>
      <c r="G1276" s="14" t="s">
        <v>2498</v>
      </c>
      <c r="H1276" s="14">
        <v>1722</v>
      </c>
      <c r="J1276" t="str">
        <f>HYPERLINK("https://jicheng.tw/tcm/book/%e9%a6%ae%e6%b0%8f%e9%8c%a6%e5%9b%8a%e7%a7%98%e9%8c%84/index.html")</f>
        <v>https://jicheng.tw/tcm/book/%e9%a6%ae%e6%b0%8f%e9%8c%a6%e5%9b%8a%e7%a7%98%e9%8c%84/index.html</v>
      </c>
    </row>
    <row r="1277" spans="1:10">
      <c r="A1277" s="10" t="s">
        <v>2188</v>
      </c>
      <c r="B1277" s="10"/>
      <c r="C1277" s="10"/>
      <c r="D1277" t="s">
        <v>2255</v>
      </c>
      <c r="E1277" t="s">
        <v>1296</v>
      </c>
      <c r="F1277" t="s">
        <v>3352</v>
      </c>
      <c r="G1277" s="14" t="s">
        <v>2498</v>
      </c>
      <c r="H1277" s="14">
        <v>1909</v>
      </c>
      <c r="J1277" t="str">
        <f>HYPERLINK("https://jicheng.tw/tcm/book/%e9%86%ab%e5%ad%b8%e8%a1%b7%e4%b8%ad%e5%8f%83%e8%a5%bf%e9%8c%84/index.html")</f>
        <v>https://jicheng.tw/tcm/book/%e9%86%ab%e5%ad%b8%e8%a1%b7%e4%b8%ad%e5%8f%83%e8%a5%bf%e9%8c%84/index.html</v>
      </c>
    </row>
    <row r="1278" spans="1:10">
      <c r="A1278" s="10" t="s">
        <v>2188</v>
      </c>
      <c r="B1278" s="10"/>
      <c r="C1278" s="10"/>
      <c r="D1278" t="s">
        <v>2256</v>
      </c>
      <c r="E1278" t="s">
        <v>1297</v>
      </c>
      <c r="F1278" t="s">
        <v>3353</v>
      </c>
      <c r="G1278" s="14" t="s">
        <v>2495</v>
      </c>
      <c r="H1278" s="14">
        <v>1575</v>
      </c>
      <c r="J1278" t="str">
        <f>HYPERLINK("https://jicheng.tw/tcm/book/%e9%86%ab%e5%ad%b8%e5%85%a5%e9%96%80/index.html")</f>
        <v>https://jicheng.tw/tcm/book/%e9%86%ab%e5%ad%b8%e5%85%a5%e9%96%80/index.html</v>
      </c>
    </row>
    <row r="1279" spans="1:10">
      <c r="A1279" s="10" t="s">
        <v>2188</v>
      </c>
      <c r="B1279" s="10"/>
      <c r="C1279" s="10"/>
      <c r="D1279" t="s">
        <v>1298</v>
      </c>
      <c r="E1279" t="s">
        <v>1298</v>
      </c>
      <c r="F1279" t="s">
        <v>3354</v>
      </c>
      <c r="G1279" s="14" t="s">
        <v>2495</v>
      </c>
      <c r="H1279" s="14">
        <v>1640</v>
      </c>
      <c r="J1279" t="str">
        <f>HYPERLINK("https://jicheng.tw/tcm/book/%e6%99%af%e5%b2%b3%e5%85%a8%e6%9b%b8/index.html")</f>
        <v>https://jicheng.tw/tcm/book/%e6%99%af%e5%b2%b3%e5%85%a8%e6%9b%b8/index.html</v>
      </c>
    </row>
    <row r="1280" spans="1:10">
      <c r="A1280" s="10" t="s">
        <v>2188</v>
      </c>
      <c r="B1280" s="10"/>
      <c r="C1280" s="10"/>
      <c r="D1280" t="s">
        <v>2257</v>
      </c>
      <c r="E1280" t="s">
        <v>1299</v>
      </c>
      <c r="F1280" t="s">
        <v>3355</v>
      </c>
      <c r="G1280" s="14" t="s">
        <v>2495</v>
      </c>
      <c r="H1280" s="14">
        <v>1565</v>
      </c>
      <c r="J1280" t="str">
        <f>HYPERLINK("https://jicheng.tw/tcm/book/%e9%86%ab%e5%ad%b8%e7%b6%b1%e7%9b%ae/index.html")</f>
        <v>https://jicheng.tw/tcm/book/%e9%86%ab%e5%ad%b8%e7%b6%b1%e7%9b%ae/index.html</v>
      </c>
    </row>
    <row r="1281" spans="1:10">
      <c r="A1281" s="10" t="s">
        <v>2188</v>
      </c>
      <c r="B1281" s="10"/>
      <c r="C1281" s="10"/>
      <c r="D1281" t="s">
        <v>2258</v>
      </c>
      <c r="E1281" t="s">
        <v>1300</v>
      </c>
      <c r="F1281" t="s">
        <v>3360</v>
      </c>
      <c r="G1281" s="14" t="s">
        <v>3361</v>
      </c>
      <c r="H1281" s="14">
        <v>1789</v>
      </c>
      <c r="J1281" t="str">
        <f>HYPERLINK("https://jicheng.tw/tcm/book/%e7%be%85%e6%b0%8f%e6%9c%83%e7%b4%84%e9%86%ab%e9%8f%a1/index.html")</f>
        <v>https://jicheng.tw/tcm/book/%e7%be%85%e6%b0%8f%e6%9c%83%e7%b4%84%e9%86%ab%e9%8f%a1/index.html</v>
      </c>
    </row>
    <row r="1282" spans="1:10">
      <c r="A1282" s="10" t="s">
        <v>2188</v>
      </c>
      <c r="B1282" s="10"/>
      <c r="C1282" s="10"/>
      <c r="D1282" t="s">
        <v>2259</v>
      </c>
      <c r="E1282" t="s">
        <v>1301</v>
      </c>
      <c r="F1282" t="s">
        <v>3362</v>
      </c>
      <c r="G1282" s="14" t="s">
        <v>3361</v>
      </c>
      <c r="H1282" s="14">
        <v>1718</v>
      </c>
      <c r="J1282" t="str">
        <f>HYPERLINK("https://jicheng.tw/tcm/book/%e9%a1%a7%e6%9d%be%e5%9c%92%e9%86%ab%e9%8f%a1/index.html")</f>
        <v>https://jicheng.tw/tcm/book/%e9%a1%a7%e6%9d%be%e5%9c%92%e9%86%ab%e9%8f%a1/index.html</v>
      </c>
    </row>
    <row r="1283" spans="1:10">
      <c r="A1283" s="10" t="s">
        <v>2188</v>
      </c>
      <c r="B1283" s="10"/>
      <c r="C1283" s="10"/>
      <c r="D1283" t="s">
        <v>2260</v>
      </c>
      <c r="E1283" t="s">
        <v>1302</v>
      </c>
      <c r="F1283" t="s">
        <v>3363</v>
      </c>
      <c r="G1283" s="14" t="s">
        <v>3361</v>
      </c>
      <c r="H1283" s="14">
        <v>1687</v>
      </c>
      <c r="J1283" t="str">
        <f>HYPERLINK("https://jicheng.tw/tcm/book/%e8%be%a8%e8%ad%89%e9%8c%84/index.html")</f>
        <v>https://jicheng.tw/tcm/book/%e8%be%a8%e8%ad%89%e9%8c%84/index.html</v>
      </c>
    </row>
    <row r="1284" spans="1:10">
      <c r="A1284" s="10" t="s">
        <v>2188</v>
      </c>
      <c r="B1284" s="10"/>
      <c r="C1284" s="10"/>
      <c r="D1284" t="s">
        <v>2261</v>
      </c>
      <c r="E1284" t="s">
        <v>1303</v>
      </c>
      <c r="F1284" t="s">
        <v>3363</v>
      </c>
      <c r="G1284" s="14" t="s">
        <v>3361</v>
      </c>
      <c r="H1284" s="14">
        <v>1687</v>
      </c>
      <c r="J1284" t="str">
        <f>HYPERLINK("https://jicheng.tw/tcm/book/%e8%be%a8%e8%ad%89%e9%8c%84%5f%31/index.html")</f>
        <v>https://jicheng.tw/tcm/book/%e8%be%a8%e8%ad%89%e9%8c%84%5f%31/index.html</v>
      </c>
    </row>
    <row r="1285" spans="1:10">
      <c r="A1285" s="10" t="s">
        <v>2188</v>
      </c>
      <c r="B1285" s="10"/>
      <c r="C1285" s="10"/>
      <c r="D1285" t="s">
        <v>1304</v>
      </c>
      <c r="E1285" t="s">
        <v>1304</v>
      </c>
      <c r="F1285" t="s">
        <v>3364</v>
      </c>
      <c r="G1285" s="14" t="s">
        <v>3365</v>
      </c>
      <c r="H1285" s="14">
        <v>1677</v>
      </c>
      <c r="J1285" t="str">
        <f>HYPERLINK("https://jicheng.tw/tcm/book/%e8%92%bc%e7%94%9f%e5%8f%b8%e5%91%bd/index.html")</f>
        <v>https://jicheng.tw/tcm/book/%e8%92%bc%e7%94%9f%e5%8f%b8%e5%91%bd/index.html</v>
      </c>
    </row>
    <row r="1286" spans="1:10">
      <c r="A1286" s="10" t="s">
        <v>2188</v>
      </c>
      <c r="B1286" s="10"/>
      <c r="C1286" s="10"/>
      <c r="D1286" t="s">
        <v>1305</v>
      </c>
      <c r="E1286" t="s">
        <v>1305</v>
      </c>
      <c r="F1286" t="s">
        <v>3366</v>
      </c>
      <c r="G1286" s="14" t="s">
        <v>3365</v>
      </c>
      <c r="H1286" s="14">
        <v>1642</v>
      </c>
      <c r="J1286" t="str">
        <f>HYPERLINK("https://jicheng.tw/tcm/book/%e5%88%aa%e8%a3%9c%e9%a0%a4%e7%94%9f%e5%be%ae%e8%ab%96/index.html")</f>
        <v>https://jicheng.tw/tcm/book/%e5%88%aa%e8%a3%9c%e9%a0%a4%e7%94%9f%e5%be%ae%e8%ab%96/index.html</v>
      </c>
    </row>
    <row r="1287" spans="1:10">
      <c r="A1287" s="10" t="s">
        <v>2188</v>
      </c>
      <c r="B1287" s="10"/>
      <c r="C1287" s="10"/>
      <c r="D1287" t="s">
        <v>2262</v>
      </c>
      <c r="E1287" t="s">
        <v>1306</v>
      </c>
      <c r="J1287" t="str">
        <f>HYPERLINK("https://jicheng.tw/tcm/book/%e9%86%ab%e6%b3%95%e5%9c%93%e9%80%9a/index.html")</f>
        <v>https://jicheng.tw/tcm/book/%e9%86%ab%e6%b3%95%e5%9c%93%e9%80%9a/index.html</v>
      </c>
    </row>
    <row r="1288" spans="1:10">
      <c r="A1288" s="10" t="s">
        <v>2188</v>
      </c>
      <c r="B1288" s="10"/>
      <c r="C1288" s="10"/>
      <c r="D1288" t="s">
        <v>2263</v>
      </c>
      <c r="E1288" t="s">
        <v>1307</v>
      </c>
      <c r="F1288" t="s">
        <v>3367</v>
      </c>
      <c r="G1288" s="14" t="s">
        <v>3361</v>
      </c>
      <c r="H1288" s="14">
        <v>1663</v>
      </c>
      <c r="J1288" t="str">
        <f>HYPERLINK("https://jicheng.tw/tcm/book/%e9%86%ab%e5%ae%97%e8%aa%aa%e7%b4%84/index.html")</f>
        <v>https://jicheng.tw/tcm/book/%e9%86%ab%e5%ae%97%e8%aa%aa%e7%b4%84/index.html</v>
      </c>
    </row>
    <row r="1289" spans="1:10">
      <c r="A1289" s="10" t="s">
        <v>2188</v>
      </c>
      <c r="B1289" s="10"/>
      <c r="C1289" s="10"/>
      <c r="D1289" t="s">
        <v>2264</v>
      </c>
      <c r="E1289" t="s">
        <v>1308</v>
      </c>
      <c r="F1289" t="s">
        <v>3368</v>
      </c>
      <c r="G1289" s="14" t="s">
        <v>3361</v>
      </c>
      <c r="H1289" s="14">
        <v>1844</v>
      </c>
      <c r="J1289" t="str">
        <f>HYPERLINK("https://jicheng.tw/tcm/book/%e6%99%af%e5%b2%b3%e5%85%a8%e6%9b%b8%e7%99%bc%e6%8f%ae/index.html")</f>
        <v>https://jicheng.tw/tcm/book/%e6%99%af%e5%b2%b3%e5%85%a8%e6%9b%b8%e7%99%bc%e6%8f%ae/index.html</v>
      </c>
    </row>
    <row r="1290" spans="1:10">
      <c r="A1290" s="10" t="s">
        <v>2188</v>
      </c>
      <c r="B1290" s="10"/>
      <c r="C1290" s="10"/>
      <c r="D1290" t="s">
        <v>2265</v>
      </c>
      <c r="E1290" t="s">
        <v>1309</v>
      </c>
      <c r="F1290" t="s">
        <v>3366</v>
      </c>
      <c r="G1290" s="14" t="s">
        <v>3365</v>
      </c>
      <c r="H1290" s="14">
        <v>1637</v>
      </c>
      <c r="J1290" t="str">
        <f>HYPERLINK("https://jicheng.tw/tcm/book/%e9%86%ab%e5%ae%97%e5%bf%85%e8%ae%80/index.html")</f>
        <v>https://jicheng.tw/tcm/book/%e9%86%ab%e5%ae%97%e5%bf%85%e8%ae%80/index.html</v>
      </c>
    </row>
    <row r="1291" spans="1:10">
      <c r="A1291" s="10" t="s">
        <v>2188</v>
      </c>
      <c r="B1291" s="10"/>
      <c r="C1291" s="10"/>
      <c r="D1291" t="s">
        <v>1310</v>
      </c>
      <c r="E1291" t="s">
        <v>1310</v>
      </c>
      <c r="F1291" t="s">
        <v>3369</v>
      </c>
      <c r="G1291" s="14" t="s">
        <v>3365</v>
      </c>
      <c r="H1291" s="14">
        <v>1591</v>
      </c>
      <c r="J1291" t="str">
        <f>HYPERLINK("https://jicheng.tw/tcm/book/%e9%9b%b2%e6%9e%97%e7%a5%9e%e5%bd%80/index.html")</f>
        <v>https://jicheng.tw/tcm/book/%e9%9b%b2%e6%9e%97%e7%a5%9e%e5%bd%80/index.html</v>
      </c>
    </row>
    <row r="1292" spans="1:10">
      <c r="A1292" s="10" t="s">
        <v>2188</v>
      </c>
      <c r="B1292" s="10"/>
      <c r="C1292" s="10"/>
      <c r="D1292" t="s">
        <v>2266</v>
      </c>
      <c r="E1292" t="s">
        <v>1311</v>
      </c>
      <c r="F1292" t="s">
        <v>3369</v>
      </c>
      <c r="G1292" s="14" t="s">
        <v>3365</v>
      </c>
      <c r="H1292" s="14">
        <v>1616</v>
      </c>
      <c r="J1292" t="str">
        <f>HYPERLINK("https://jicheng.tw/tcm/book/%e6%bf%9f%e4%b8%96%e5%85%a8%e6%9b%b8/index.html")</f>
        <v>https://jicheng.tw/tcm/book/%e6%bf%9f%e4%b8%96%e5%85%a8%e6%9b%b8/index.html</v>
      </c>
    </row>
    <row r="1293" spans="1:10">
      <c r="A1293" s="10" t="s">
        <v>2188</v>
      </c>
      <c r="B1293" s="10"/>
      <c r="C1293" s="10"/>
      <c r="D1293" t="s">
        <v>2267</v>
      </c>
      <c r="E1293" t="s">
        <v>1312</v>
      </c>
      <c r="F1293" t="s">
        <v>3370</v>
      </c>
      <c r="G1293" s="14" t="s">
        <v>3361</v>
      </c>
      <c r="H1293" s="14">
        <v>1764</v>
      </c>
      <c r="J1293" t="str">
        <f>HYPERLINK("https://jicheng.tw/tcm/book/%e8%98%ad%e8%87%ba%e8%bb%8c%e7%af%84/index.html")</f>
        <v>https://jicheng.tw/tcm/book/%e8%98%ad%e8%87%ba%e8%bb%8c%e7%af%84/index.html</v>
      </c>
    </row>
    <row r="1294" spans="1:10">
      <c r="A1294" s="10" t="s">
        <v>2188</v>
      </c>
      <c r="B1294" s="10"/>
      <c r="C1294" s="10"/>
      <c r="D1294" t="s">
        <v>1313</v>
      </c>
      <c r="E1294" t="s">
        <v>1313</v>
      </c>
      <c r="F1294" t="s">
        <v>3371</v>
      </c>
      <c r="G1294" s="14" t="s">
        <v>3365</v>
      </c>
      <c r="H1294" s="14">
        <v>1584</v>
      </c>
      <c r="J1294" t="str">
        <f>HYPERLINK("https://jicheng.tw/tcm/book/%e8%b5%a4%e6%b0%b4%e7%8e%84%e7%8f%a0/index.html")</f>
        <v>https://jicheng.tw/tcm/book/%e8%b5%a4%e6%b0%b4%e7%8e%84%e7%8f%a0/index.html</v>
      </c>
    </row>
    <row r="1295" spans="1:10">
      <c r="A1295" s="10" t="s">
        <v>2188</v>
      </c>
      <c r="B1295" s="10"/>
      <c r="C1295" s="10"/>
      <c r="D1295" t="s">
        <v>1314</v>
      </c>
      <c r="E1295" t="s">
        <v>1314</v>
      </c>
      <c r="F1295" t="s">
        <v>3372</v>
      </c>
      <c r="G1295" s="14" t="s">
        <v>3373</v>
      </c>
      <c r="H1295" s="14">
        <v>652</v>
      </c>
      <c r="J1295" t="str">
        <f>HYPERLINK("https://jicheng.tw/tcm/book/%e5%82%99%e6%80%a5%e5%8d%83%e9%87%91%e8%a6%81%e6%96%b9/index.html")</f>
        <v>https://jicheng.tw/tcm/book/%e5%82%99%e6%80%a5%e5%8d%83%e9%87%91%e8%a6%81%e6%96%b9/index.html</v>
      </c>
    </row>
    <row r="1296" spans="1:10">
      <c r="A1296" s="10" t="s">
        <v>2188</v>
      </c>
      <c r="B1296" s="10"/>
      <c r="C1296" s="10"/>
      <c r="D1296" t="s">
        <v>1315</v>
      </c>
      <c r="E1296" t="s">
        <v>1315</v>
      </c>
      <c r="F1296" t="s">
        <v>3372</v>
      </c>
      <c r="G1296" s="14" t="s">
        <v>3373</v>
      </c>
      <c r="J1296" t="str">
        <f>HYPERLINK("https://jicheng.tw/tcm/book/%e5%82%99%e6%80%a5%e5%8d%83%e9%87%91%e8%a6%81%e6%96%b9%5f%31/index.html")</f>
        <v>https://jicheng.tw/tcm/book/%e5%82%99%e6%80%a5%e5%8d%83%e9%87%91%e8%a6%81%e6%96%b9%5f%31/index.html</v>
      </c>
    </row>
    <row r="1297" spans="1:10">
      <c r="A1297" s="10" t="s">
        <v>2188</v>
      </c>
      <c r="B1297" s="10"/>
      <c r="C1297" s="10"/>
      <c r="D1297" t="s">
        <v>2268</v>
      </c>
      <c r="E1297" t="s">
        <v>1316</v>
      </c>
      <c r="F1297" t="s">
        <v>3372</v>
      </c>
      <c r="G1297" s="14" t="s">
        <v>3373</v>
      </c>
      <c r="J1297" t="str">
        <f>HYPERLINK("https://jicheng.tw/tcm/book/%e5%a4%a7%e9%86%ab%e7%b2%be%e8%aa%a0%5f%31/index.html")</f>
        <v>https://jicheng.tw/tcm/book/%e5%a4%a7%e9%86%ab%e7%b2%be%e8%aa%a0%5f%31/index.html</v>
      </c>
    </row>
    <row r="1298" spans="1:10">
      <c r="A1298" s="10" t="s">
        <v>2188</v>
      </c>
      <c r="B1298" s="10"/>
      <c r="C1298" s="10"/>
      <c r="D1298" t="s">
        <v>1317</v>
      </c>
      <c r="E1298" t="s">
        <v>1317</v>
      </c>
      <c r="F1298" t="s">
        <v>3372</v>
      </c>
      <c r="G1298" s="14" t="s">
        <v>3373</v>
      </c>
      <c r="H1298" s="14">
        <v>682</v>
      </c>
      <c r="J1298" t="str">
        <f>HYPERLINK("https://jicheng.tw/tcm/book/%e5%8d%83%e9%87%91%e7%bf%bc%e6%96%b9/index.html")</f>
        <v>https://jicheng.tw/tcm/book/%e5%8d%83%e9%87%91%e7%bf%bc%e6%96%b9/index.html</v>
      </c>
    </row>
    <row r="1299" spans="1:10">
      <c r="A1299" s="10" t="s">
        <v>2188</v>
      </c>
      <c r="B1299" s="10"/>
      <c r="C1299" s="10"/>
      <c r="D1299" t="s">
        <v>1318</v>
      </c>
      <c r="E1299" t="s">
        <v>1318</v>
      </c>
      <c r="F1299" t="s">
        <v>3372</v>
      </c>
      <c r="G1299" s="14" t="s">
        <v>3373</v>
      </c>
      <c r="J1299" t="str">
        <f>HYPERLINK("https://jicheng.tw/tcm/book/%e5%8d%83%e9%87%91%e7%bf%bc%e6%96%b9%5f%31/index.html")</f>
        <v>https://jicheng.tw/tcm/book/%e5%8d%83%e9%87%91%e7%bf%bc%e6%96%b9%5f%31/index.html</v>
      </c>
    </row>
    <row r="1300" spans="1:10">
      <c r="A1300" s="10" t="s">
        <v>2188</v>
      </c>
      <c r="B1300" s="10"/>
      <c r="C1300" s="10"/>
      <c r="D1300" t="s">
        <v>2269</v>
      </c>
      <c r="E1300" t="s">
        <v>1319</v>
      </c>
      <c r="F1300" t="s">
        <v>3374</v>
      </c>
      <c r="G1300" s="14" t="s">
        <v>3373</v>
      </c>
      <c r="H1300" s="14">
        <v>752</v>
      </c>
      <c r="J1300" t="str">
        <f>HYPERLINK("https://jicheng.tw/tcm/book/%e5%a4%96%e8%87%ba%e7%a7%98%e8%a6%81/index.html")</f>
        <v>https://jicheng.tw/tcm/book/%e5%a4%96%e8%87%ba%e7%a7%98%e8%a6%81/index.html</v>
      </c>
    </row>
    <row r="1301" spans="1:10">
      <c r="A1301" s="10" t="s">
        <v>2188</v>
      </c>
      <c r="B1301" s="10"/>
      <c r="C1301" s="10"/>
      <c r="D1301" t="s">
        <v>2270</v>
      </c>
      <c r="E1301" t="s">
        <v>1320</v>
      </c>
      <c r="F1301" t="s">
        <v>3374</v>
      </c>
      <c r="G1301" s="14" t="s">
        <v>3373</v>
      </c>
      <c r="J1301" t="str">
        <f>HYPERLINK("https://jicheng.tw/tcm/book/%e5%a4%96%e8%87%ba%e7%a7%98%e8%a6%81%5f%31/index.html")</f>
        <v>https://jicheng.tw/tcm/book/%e5%a4%96%e8%87%ba%e7%a7%98%e8%a6%81%5f%31/index.html</v>
      </c>
    </row>
    <row r="1302" spans="1:10">
      <c r="A1302" s="10" t="s">
        <v>2188</v>
      </c>
      <c r="B1302" s="10"/>
      <c r="C1302" s="10"/>
      <c r="D1302" t="s">
        <v>2271</v>
      </c>
      <c r="E1302" t="s">
        <v>1321</v>
      </c>
      <c r="F1302" t="s">
        <v>3375</v>
      </c>
      <c r="G1302" s="14" t="s">
        <v>3376</v>
      </c>
      <c r="H1302" s="14">
        <v>984</v>
      </c>
      <c r="J1302" t="str">
        <f>HYPERLINK("https://jicheng.tw/tcm/book/%e9%86%ab%e5%bf%83%e6%96%b9/index.html")</f>
        <v>https://jicheng.tw/tcm/book/%e9%86%ab%e5%bf%83%e6%96%b9/index.html</v>
      </c>
    </row>
    <row r="1303" spans="1:10">
      <c r="A1303" s="10" t="s">
        <v>2188</v>
      </c>
      <c r="B1303" s="10"/>
      <c r="C1303" s="10"/>
      <c r="D1303" t="s">
        <v>2272</v>
      </c>
      <c r="E1303" t="s">
        <v>1322</v>
      </c>
      <c r="F1303" t="s">
        <v>3377</v>
      </c>
      <c r="G1303" s="14" t="s">
        <v>3361</v>
      </c>
      <c r="H1303" s="14">
        <v>1777</v>
      </c>
      <c r="J1303" t="str">
        <f>HYPERLINK("https://jicheng.tw/tcm/book/%e9%b1%a0%e6%ae%98%e7%af%87/index.html")</f>
        <v>https://jicheng.tw/tcm/book/%e9%b1%a0%e6%ae%98%e7%af%87/index.html</v>
      </c>
    </row>
    <row r="1304" spans="1:10">
      <c r="A1304" s="10" t="s">
        <v>2188</v>
      </c>
      <c r="B1304" s="10"/>
      <c r="C1304" s="10"/>
      <c r="D1304" t="s">
        <v>2273</v>
      </c>
      <c r="E1304" t="s">
        <v>1323</v>
      </c>
      <c r="F1304" t="s">
        <v>3378</v>
      </c>
      <c r="G1304" s="14" t="s">
        <v>3361</v>
      </c>
      <c r="J1304" t="str">
        <f>HYPERLINK("https://jicheng.tw/tcm/book/%e9%95%b7%e6%b2%99%e8%ad%89%e5%bd%99/index.html")</f>
        <v>https://jicheng.tw/tcm/book/%e9%95%b7%e6%b2%99%e8%ad%89%e5%bd%99/index.html</v>
      </c>
    </row>
    <row r="1305" spans="1:10">
      <c r="A1305" s="10" t="s">
        <v>2188</v>
      </c>
      <c r="B1305" s="10"/>
      <c r="C1305" s="10"/>
      <c r="D1305" t="s">
        <v>2274</v>
      </c>
      <c r="E1305" t="s">
        <v>1324</v>
      </c>
      <c r="F1305" t="s">
        <v>3379</v>
      </c>
      <c r="G1305" s="14" t="s">
        <v>3361</v>
      </c>
      <c r="H1305" s="14">
        <v>1795</v>
      </c>
      <c r="J1305" t="str">
        <f>HYPERLINK("https://jicheng.tw/tcm/book/%e9%86%ab%e5%ad%b8%e4%b8%89%e4%bf%a1%e7%b7%a8/index.html")</f>
        <v>https://jicheng.tw/tcm/book/%e9%86%ab%e5%ad%b8%e4%b8%89%e4%bf%a1%e7%b7%a8/index.html</v>
      </c>
    </row>
    <row r="1306" spans="1:10">
      <c r="A1306" s="10" t="s">
        <v>2188</v>
      </c>
      <c r="B1306" s="10"/>
      <c r="C1306" s="10"/>
      <c r="D1306" t="s">
        <v>2275</v>
      </c>
      <c r="E1306" t="s">
        <v>1325</v>
      </c>
      <c r="F1306" t="s">
        <v>3380</v>
      </c>
      <c r="G1306" s="14" t="s">
        <v>3365</v>
      </c>
      <c r="H1306" s="14">
        <v>1623</v>
      </c>
      <c r="J1306" t="str">
        <f>HYPERLINK("https://jicheng.tw/tcm/book/%e9%86%ab%e5%ad%b8%e7%a0%94%e6%82%85/index.html")</f>
        <v>https://jicheng.tw/tcm/book/%e9%86%ab%e5%ad%b8%e7%a0%94%e6%82%85/index.html</v>
      </c>
    </row>
    <row r="1307" spans="1:10">
      <c r="A1307" s="10" t="s">
        <v>2188</v>
      </c>
      <c r="B1307" s="10"/>
      <c r="C1307" s="10"/>
      <c r="D1307" t="s">
        <v>2276</v>
      </c>
      <c r="E1307" t="s">
        <v>1326</v>
      </c>
      <c r="F1307" t="s">
        <v>3381</v>
      </c>
      <c r="G1307" s="14" t="s">
        <v>3361</v>
      </c>
      <c r="H1307" s="14">
        <v>1863</v>
      </c>
      <c r="J1307" t="str">
        <f>HYPERLINK("https://jicheng.tw/tcm/book/%e9%86%ab%e4%b8%ad%e4%b8%80%e5%be%97/index.html")</f>
        <v>https://jicheng.tw/tcm/book/%e9%86%ab%e4%b8%ad%e4%b8%80%e5%be%97/index.html</v>
      </c>
    </row>
    <row r="1308" spans="1:10">
      <c r="A1308" s="10" t="s">
        <v>2188</v>
      </c>
      <c r="B1308" s="10"/>
      <c r="C1308" s="10"/>
      <c r="D1308" t="s">
        <v>2277</v>
      </c>
      <c r="E1308" t="s">
        <v>1327</v>
      </c>
      <c r="F1308" t="s">
        <v>3382</v>
      </c>
      <c r="G1308" s="14" t="s">
        <v>3361</v>
      </c>
      <c r="H1308" s="14">
        <v>1873</v>
      </c>
      <c r="J1308" t="str">
        <f>HYPERLINK("https://jicheng.tw/tcm/book/%e9%86%ab%e5%ad%b8%e9%9b%86%e6%88%90/index.html")</f>
        <v>https://jicheng.tw/tcm/book/%e9%86%ab%e5%ad%b8%e9%9b%86%e6%88%90/index.html</v>
      </c>
    </row>
    <row r="1309" spans="1:10">
      <c r="A1309" s="10" t="s">
        <v>2188</v>
      </c>
      <c r="B1309" s="10"/>
      <c r="C1309" s="10"/>
      <c r="D1309" t="s">
        <v>2278</v>
      </c>
      <c r="E1309" t="s">
        <v>1328</v>
      </c>
      <c r="F1309" t="s">
        <v>3383</v>
      </c>
      <c r="G1309" s="14" t="s">
        <v>3361</v>
      </c>
      <c r="H1309" s="14">
        <v>1722</v>
      </c>
      <c r="J1309" t="str">
        <f>HYPERLINK("https://jicheng.tw/tcm/book/%e9%86%ab%e5%ad%b8%e9%ab%94%e7%94%a8/index.html")</f>
        <v>https://jicheng.tw/tcm/book/%e9%86%ab%e5%ad%b8%e9%ab%94%e7%94%a8/index.html</v>
      </c>
    </row>
    <row r="1310" spans="1:10">
      <c r="A1310" s="10" t="s">
        <v>2188</v>
      </c>
      <c r="B1310" s="10"/>
      <c r="C1310" s="10"/>
      <c r="D1310" t="s">
        <v>2279</v>
      </c>
      <c r="E1310" t="s">
        <v>1329</v>
      </c>
      <c r="J1310" t="str">
        <f>HYPERLINK("https://jicheng.tw/tcm/book/%e9%86%ab%e5%ad%b8%e8%aa%aa%e7%b4%84/index.html")</f>
        <v>https://jicheng.tw/tcm/book/%e9%86%ab%e5%ad%b8%e8%aa%aa%e7%b4%84/index.html</v>
      </c>
    </row>
    <row r="1311" spans="1:10">
      <c r="A1311" s="10" t="s">
        <v>2188</v>
      </c>
      <c r="B1311" s="10"/>
      <c r="C1311" s="10"/>
      <c r="D1311" t="s">
        <v>2280</v>
      </c>
      <c r="E1311" t="s">
        <v>1330</v>
      </c>
      <c r="F1311" t="s">
        <v>3384</v>
      </c>
      <c r="G1311" s="14" t="s">
        <v>3361</v>
      </c>
      <c r="H1311" s="14">
        <v>1854</v>
      </c>
      <c r="J1311" t="str">
        <f>HYPERLINK("https://jicheng.tw/tcm/book/%e9%86%ab%e5%ad%b8%e8%bc%af%e8%a6%81/index.html")</f>
        <v>https://jicheng.tw/tcm/book/%e9%86%ab%e5%ad%b8%e8%bc%af%e8%a6%81/index.html</v>
      </c>
    </row>
    <row r="1312" spans="1:10">
      <c r="A1312" s="10" t="s">
        <v>2188</v>
      </c>
      <c r="B1312" s="10"/>
      <c r="C1312" s="10"/>
      <c r="D1312" t="s">
        <v>2281</v>
      </c>
      <c r="E1312" t="s">
        <v>1331</v>
      </c>
      <c r="J1312" t="str">
        <f>HYPERLINK("https://jicheng.tw/tcm/book/%e9%86%ab%e6%98%93%e4%b8%80%e7%90%86/index.html")</f>
        <v>https://jicheng.tw/tcm/book/%e9%86%ab%e6%98%93%e4%b8%80%e7%90%86/index.html</v>
      </c>
    </row>
    <row r="1313" spans="1:10">
      <c r="A1313" s="10" t="s">
        <v>2188</v>
      </c>
      <c r="B1313" s="10"/>
      <c r="C1313" s="10"/>
      <c r="D1313" t="s">
        <v>2282</v>
      </c>
      <c r="E1313" t="s">
        <v>1332</v>
      </c>
      <c r="F1313" t="s">
        <v>3385</v>
      </c>
      <c r="G1313" s="14" t="s">
        <v>3361</v>
      </c>
      <c r="H1313" s="14" t="s">
        <v>3263</v>
      </c>
      <c r="J1313" t="str">
        <f>HYPERLINK("https://jicheng.tw/tcm/book/%e9%86%ab%e6%b4%a5%e4%b8%80%e7%ad%8f/index.html")</f>
        <v>https://jicheng.tw/tcm/book/%e9%86%ab%e6%b4%a5%e4%b8%80%e7%ad%8f/index.html</v>
      </c>
    </row>
    <row r="1314" spans="1:10">
      <c r="A1314" s="10" t="s">
        <v>2188</v>
      </c>
      <c r="B1314" s="10"/>
      <c r="C1314" s="10"/>
      <c r="D1314" t="s">
        <v>2283</v>
      </c>
      <c r="E1314" t="s">
        <v>1333</v>
      </c>
      <c r="J1314" t="str">
        <f>HYPERLINK("https://jicheng.tw/tcm/book/%e9%86%ab%e7%97%85%e7%b0%a1%e8%a6%81/index.html")</f>
        <v>https://jicheng.tw/tcm/book/%e9%86%ab%e7%97%85%e7%b0%a1%e8%a6%81/index.html</v>
      </c>
    </row>
    <row r="1315" spans="1:10">
      <c r="A1315" s="10" t="s">
        <v>2188</v>
      </c>
      <c r="B1315" s="10"/>
      <c r="C1315" s="10"/>
      <c r="D1315" t="s">
        <v>2284</v>
      </c>
      <c r="E1315" t="s">
        <v>1334</v>
      </c>
      <c r="F1315" t="s">
        <v>3386</v>
      </c>
      <c r="H1315" s="14">
        <v>1383</v>
      </c>
      <c r="J1315" t="str">
        <f>HYPERLINK("https://jicheng.tw/tcm/book/%e9%86%ab%e7%b6%93%e7%a7%98%e6%97%a8/index.html")</f>
        <v>https://jicheng.tw/tcm/book/%e9%86%ab%e7%b6%93%e7%a7%98%e6%97%a8/index.html</v>
      </c>
    </row>
    <row r="1316" spans="1:10">
      <c r="A1316" s="10" t="s">
        <v>2188</v>
      </c>
      <c r="B1316" s="10"/>
      <c r="C1316" s="10"/>
      <c r="D1316" t="s">
        <v>1335</v>
      </c>
      <c r="E1316" t="s">
        <v>1335</v>
      </c>
      <c r="F1316" t="s">
        <v>3387</v>
      </c>
      <c r="G1316" s="14" t="s">
        <v>3361</v>
      </c>
      <c r="H1316" s="14">
        <v>1730</v>
      </c>
      <c r="J1316" t="str">
        <f>HYPERLINK("https://jicheng.tw/tcm/book/%e6%9d%91%e5%b1%85%e6%95%91%e6%80%a5%e6%96%b9/index.html")</f>
        <v>https://jicheng.tw/tcm/book/%e6%9d%91%e5%b1%85%e6%95%91%e6%80%a5%e6%96%b9/index.html</v>
      </c>
    </row>
    <row r="1317" spans="1:10">
      <c r="A1317" s="10" t="s">
        <v>2188</v>
      </c>
      <c r="B1317" s="10"/>
      <c r="C1317" s="10"/>
      <c r="D1317" t="s">
        <v>2285</v>
      </c>
      <c r="E1317" t="s">
        <v>1336</v>
      </c>
      <c r="F1317" t="s">
        <v>3388</v>
      </c>
      <c r="G1317" s="14" t="s">
        <v>3361</v>
      </c>
      <c r="H1317" s="14">
        <v>1893</v>
      </c>
      <c r="J1317" t="str">
        <f>HYPERLINK("https://jicheng.tw/tcm/book/%e6%95%ba%e8%a0%b1%e7%87%83%e7%8a%80%e9%8c%84/index.html")</f>
        <v>https://jicheng.tw/tcm/book/%e6%95%ba%e8%a0%b1%e7%87%83%e7%8a%80%e9%8c%84/index.html</v>
      </c>
    </row>
    <row r="1318" spans="1:10">
      <c r="A1318" s="10" t="s">
        <v>2188</v>
      </c>
      <c r="B1318" s="10"/>
      <c r="C1318" s="10"/>
      <c r="D1318" t="s">
        <v>2286</v>
      </c>
      <c r="E1318" t="s">
        <v>1337</v>
      </c>
      <c r="F1318" t="s">
        <v>3389</v>
      </c>
      <c r="G1318" s="14" t="s">
        <v>3376</v>
      </c>
      <c r="J1318" t="str">
        <f>HYPERLINK("https://jicheng.tw/tcm/book/%e9%a1%9e%e8%ad%89%e6%99%ae%e6%bf%9f%e6%9c%ac%e4%ba%8b%e6%96%b9%e7%ba%8c%e9%9b%86/index.html")</f>
        <v>https://jicheng.tw/tcm/book/%e9%a1%9e%e8%ad%89%e6%99%ae%e6%bf%9f%e6%9c%ac%e4%ba%8b%e6%96%b9%e7%ba%8c%e9%9b%86/index.html</v>
      </c>
    </row>
    <row r="1319" spans="1:10">
      <c r="A1319" s="10" t="s">
        <v>2188</v>
      </c>
      <c r="B1319" s="10"/>
      <c r="C1319" s="10"/>
      <c r="D1319" t="s">
        <v>1338</v>
      </c>
      <c r="E1319" t="s">
        <v>1338</v>
      </c>
      <c r="F1319" t="s">
        <v>3390</v>
      </c>
      <c r="G1319" s="14" t="s">
        <v>3361</v>
      </c>
      <c r="H1319" s="14">
        <v>1773</v>
      </c>
      <c r="J1319" t="str">
        <f>HYPERLINK("https://jicheng.tw/tcm/book/%e6%b2%88%e6%b0%8f%e5%b0%8a%e7%94%9f%e6%9b%b8/index.html")</f>
        <v>https://jicheng.tw/tcm/book/%e6%b2%88%e6%b0%8f%e5%b0%8a%e7%94%9f%e6%9b%b8/index.html</v>
      </c>
    </row>
    <row r="1320" spans="1:10">
      <c r="A1320" s="10" t="s">
        <v>2188</v>
      </c>
      <c r="B1320" s="10"/>
      <c r="C1320" s="10"/>
      <c r="D1320" t="s">
        <v>2287</v>
      </c>
      <c r="E1320" t="s">
        <v>1339</v>
      </c>
      <c r="F1320" t="s">
        <v>3391</v>
      </c>
      <c r="G1320" s="14" t="s">
        <v>3361</v>
      </c>
      <c r="J1320" t="str">
        <f>HYPERLINK("https://jicheng.tw/tcm/book/%e7%b6%93%e6%ad%b7%e9%9b%9c%e8%ab%96/index.html")</f>
        <v>https://jicheng.tw/tcm/book/%e7%b6%93%e6%ad%b7%e9%9b%9c%e8%ab%96/index.html</v>
      </c>
    </row>
    <row r="1321" spans="1:10">
      <c r="A1321" s="10" t="s">
        <v>2188</v>
      </c>
      <c r="B1321" s="10"/>
      <c r="C1321" s="10"/>
      <c r="D1321" t="s">
        <v>2288</v>
      </c>
      <c r="E1321" t="s">
        <v>1340</v>
      </c>
      <c r="F1321" t="s">
        <v>3392</v>
      </c>
      <c r="G1321" s="14" t="s">
        <v>3361</v>
      </c>
      <c r="H1321" s="14">
        <v>1859</v>
      </c>
      <c r="J1321" t="str">
        <f>HYPERLINK("https://jicheng.tw/tcm/book/%e9%81%8e%e5%ba%ad%e9%8c%84%e5%ad%98/index.html")</f>
        <v>https://jicheng.tw/tcm/book/%e9%81%8e%e5%ba%ad%e9%8c%84%e5%ad%98/index.html</v>
      </c>
    </row>
    <row r="1322" spans="1:10">
      <c r="A1322" s="10" t="s">
        <v>2188</v>
      </c>
      <c r="B1322" s="10"/>
      <c r="C1322" s="10"/>
      <c r="D1322" t="s">
        <v>1341</v>
      </c>
      <c r="E1322" t="s">
        <v>1341</v>
      </c>
      <c r="F1322" t="s">
        <v>3393</v>
      </c>
      <c r="G1322" s="14" t="s">
        <v>3394</v>
      </c>
      <c r="H1322" s="14">
        <v>1917</v>
      </c>
      <c r="J1322" t="str">
        <f>HYPERLINK("https://jicheng.tw/tcm/book/%e4%b8%ad%e9%a2%a8%e6%96%a0%e8%a9%ae/index.html")</f>
        <v>https://jicheng.tw/tcm/book/%e4%b8%ad%e9%a2%a8%e6%96%a0%e8%a9%ae/index.html</v>
      </c>
    </row>
    <row r="1323" spans="1:10">
      <c r="A1323" s="10" t="s">
        <v>2188</v>
      </c>
      <c r="B1323" s="10"/>
      <c r="C1323" s="10"/>
      <c r="D1323" t="s">
        <v>2289</v>
      </c>
      <c r="E1323" t="s">
        <v>1342</v>
      </c>
      <c r="F1323" t="s">
        <v>3395</v>
      </c>
      <c r="G1323" s="14" t="s">
        <v>3361</v>
      </c>
      <c r="J1323" t="str">
        <f>HYPERLINK("https://jicheng.tw/tcm/book/%e9%86%ab%e5%ad%b8%e5%bf%83%e6%82%9f%e9%9b%9c%e7%97%87%e8%a6%81%e7%be%a9/index.html")</f>
        <v>https://jicheng.tw/tcm/book/%e9%86%ab%e5%ad%b8%e5%bf%83%e6%82%9f%e9%9b%9c%e7%97%87%e8%a6%81%e7%be%a9/index.html</v>
      </c>
    </row>
    <row r="1324" spans="1:10">
      <c r="A1324" s="10" t="s">
        <v>2188</v>
      </c>
      <c r="B1324" s="10"/>
      <c r="C1324" s="10"/>
      <c r="D1324" t="s">
        <v>1343</v>
      </c>
      <c r="E1324" t="s">
        <v>1343</v>
      </c>
      <c r="F1324" t="s">
        <v>3396</v>
      </c>
      <c r="G1324" s="14" t="s">
        <v>3361</v>
      </c>
      <c r="H1324" s="14">
        <v>1851</v>
      </c>
      <c r="J1324" t="str">
        <f>HYPERLINK("https://jicheng.tw/tcm/book/%e5%ae%b6%e7%94%a8%e8%89%af%e6%96%b9/index.html")</f>
        <v>https://jicheng.tw/tcm/book/%e5%ae%b6%e7%94%a8%e8%89%af%e6%96%b9/index.html</v>
      </c>
    </row>
    <row r="1325" spans="1:10">
      <c r="A1325" s="10" t="s">
        <v>2188</v>
      </c>
      <c r="B1325" s="10"/>
      <c r="C1325" s="10"/>
      <c r="D1325" s="7" t="s">
        <v>2470</v>
      </c>
      <c r="E1325" t="s">
        <v>1344</v>
      </c>
      <c r="J1325" t="str">
        <f>HYPERLINK("https://jicheng.tw/tcm/book/%e9%86%ab%e7%b6%93%e5%9c%8b%e5%b0%8f/index.html")</f>
        <v>https://jicheng.tw/tcm/book/%e9%86%ab%e7%b6%93%e5%9c%8b%e5%b0%8f/index.html</v>
      </c>
    </row>
    <row r="1326" spans="1:10">
      <c r="A1326" s="10" t="s">
        <v>2188</v>
      </c>
      <c r="B1326" s="10"/>
      <c r="C1326" s="10"/>
      <c r="D1326" t="s">
        <v>2290</v>
      </c>
      <c r="E1326" t="s">
        <v>1345</v>
      </c>
      <c r="F1326" t="s">
        <v>3397</v>
      </c>
      <c r="G1326" s="14" t="s">
        <v>3394</v>
      </c>
      <c r="H1326" s="14">
        <v>1947</v>
      </c>
      <c r="J1326" t="str">
        <f>HYPERLINK("https://jicheng.tw/tcm/book/%e5%9c%93%e9%81%8b%e5%8b%95%e7%9a%84%e5%8f%a4%e4%b8%ad%e9%86%ab%e5%ad%b8/index.html")</f>
        <v>https://jicheng.tw/tcm/book/%e5%9c%93%e9%81%8b%e5%8b%95%e7%9a%84%e5%8f%a4%e4%b8%ad%e9%86%ab%e5%ad%b8/index.html</v>
      </c>
    </row>
    <row r="1327" spans="1:10">
      <c r="A1327" s="10" t="s">
        <v>2188</v>
      </c>
      <c r="B1327" s="10"/>
      <c r="C1327" s="10"/>
      <c r="D1327" t="s">
        <v>2291</v>
      </c>
      <c r="E1327" t="s">
        <v>1346</v>
      </c>
      <c r="F1327" t="s">
        <v>3398</v>
      </c>
      <c r="G1327" s="14" t="s">
        <v>3361</v>
      </c>
      <c r="H1327" s="14">
        <v>1906</v>
      </c>
      <c r="J1327" t="str">
        <f>HYPERLINK("https://jicheng.tw/tcm/book/%e7%b0%a1%e6%98%8e%e4%b8%ad%e8%a5%bf%e5%8c%af%e5%8f%83%e9%86%ab%e5%ad%b8%e5%9c%96%e8%aa%aa/index.html")</f>
        <v>https://jicheng.tw/tcm/book/%e7%b0%a1%e6%98%8e%e4%b8%ad%e8%a5%bf%e5%8c%af%e5%8f%83%e9%86%ab%e5%ad%b8%e5%9c%96%e8%aa%aa/index.html</v>
      </c>
    </row>
    <row r="1328" spans="1:10">
      <c r="A1328" s="10" t="s">
        <v>2188</v>
      </c>
      <c r="B1328" s="10"/>
      <c r="C1328" s="10"/>
      <c r="D1328" t="s">
        <v>2292</v>
      </c>
      <c r="E1328" t="s">
        <v>1347</v>
      </c>
      <c r="F1328" t="s">
        <v>3399</v>
      </c>
      <c r="G1328" s="14" t="s">
        <v>3361</v>
      </c>
      <c r="H1328" s="14">
        <v>1606</v>
      </c>
      <c r="J1328" t="str">
        <f>HYPERLINK("https://jicheng.tw/tcm/book/%e8%87%9f%e8%85%91%e8%ad%89%e6%b2%bb%e5%9c%96%e8%aa%aa%e4%ba%ba%e9%8f%a1%e7%b6%93/index.html")</f>
        <v>https://jicheng.tw/tcm/book/%e8%87%9f%e8%85%91%e8%ad%89%e6%b2%bb%e5%9c%96%e8%aa%aa%e4%ba%ba%e9%8f%a1%e7%b6%93/index.html</v>
      </c>
    </row>
    <row r="1329" spans="1:10">
      <c r="A1329" s="10" t="s">
        <v>2188</v>
      </c>
      <c r="B1329" s="10"/>
      <c r="C1329" s="10"/>
      <c r="D1329" t="s">
        <v>2293</v>
      </c>
      <c r="E1329" t="s">
        <v>1348</v>
      </c>
      <c r="F1329" t="s">
        <v>3400</v>
      </c>
      <c r="G1329" s="14" t="s">
        <v>3361</v>
      </c>
      <c r="H1329" s="14">
        <v>1668</v>
      </c>
      <c r="J1329" t="str">
        <f>HYPERLINK("https://jicheng.tw/tcm/book/%e7%8e%84%e9%96%80%e8%84%88%e8%a8%a3%e5%85%a7%e7%85%a7%e5%9c%96/index.html")</f>
        <v>https://jicheng.tw/tcm/book/%e7%8e%84%e9%96%80%e8%84%88%e8%a8%a3%e5%85%a7%e7%85%a7%e5%9c%96/index.html</v>
      </c>
    </row>
    <row r="1330" spans="1:10">
      <c r="A1330" s="10" t="s">
        <v>2188</v>
      </c>
      <c r="B1330" s="10"/>
      <c r="C1330" s="10"/>
      <c r="D1330" t="s">
        <v>2294</v>
      </c>
      <c r="E1330" t="s">
        <v>1349</v>
      </c>
      <c r="F1330" t="s">
        <v>3401</v>
      </c>
      <c r="G1330" s="14" t="s">
        <v>3402</v>
      </c>
      <c r="H1330" s="14">
        <v>1266</v>
      </c>
      <c r="I1330" s="9" t="s">
        <v>2471</v>
      </c>
      <c r="J1330" t="str">
        <f>HYPERLINK("https://jicheng.tw/tcm/book/%e6%9d%b1%e5%9e%a3%e8%a9%a6%e6%95%88%e6%96%b9/index.html")</f>
        <v>https://jicheng.tw/tcm/book/%e6%9d%b1%e5%9e%a3%e8%a9%a6%e6%95%88%e6%96%b9/index.html</v>
      </c>
    </row>
    <row r="1331" spans="1:10">
      <c r="A1331" s="10" t="s">
        <v>2188</v>
      </c>
      <c r="B1331" s="10"/>
      <c r="C1331" s="10"/>
      <c r="D1331" t="s">
        <v>2295</v>
      </c>
      <c r="E1331" t="s">
        <v>1350</v>
      </c>
      <c r="F1331" t="s">
        <v>3403</v>
      </c>
      <c r="G1331" s="14" t="s">
        <v>3365</v>
      </c>
      <c r="H1331" s="14">
        <v>1633</v>
      </c>
      <c r="J1331" t="str">
        <f>HYPERLINK("https://jicheng.tw/tcm/book/%e9%86%ab%e7%b6%93%e6%9c%83%e8%a7%a3/index.html")</f>
        <v>https://jicheng.tw/tcm/book/%e9%86%ab%e7%b6%93%e6%9c%83%e8%a7%a3/index.html</v>
      </c>
    </row>
    <row r="1332" spans="1:10">
      <c r="A1332" s="10" t="s">
        <v>2188</v>
      </c>
      <c r="B1332" s="10"/>
      <c r="C1332" s="10"/>
      <c r="D1332" t="s">
        <v>2296</v>
      </c>
      <c r="E1332" t="s">
        <v>1351</v>
      </c>
      <c r="F1332" t="s">
        <v>3404</v>
      </c>
      <c r="G1332" s="14" t="s">
        <v>3365</v>
      </c>
      <c r="H1332" s="14">
        <v>1556</v>
      </c>
      <c r="J1332" t="str">
        <f>HYPERLINK("https://jicheng.tw/tcm/book/%e9%86%ab%e7%b6%93%e5%a4%a7%e6%97%a8/index.html")</f>
        <v>https://jicheng.tw/tcm/book/%e9%86%ab%e7%b6%93%e5%a4%a7%e6%97%a8/index.html</v>
      </c>
    </row>
    <row r="1333" spans="1:10">
      <c r="A1333" s="10" t="s">
        <v>2188</v>
      </c>
      <c r="B1333" s="10"/>
      <c r="C1333" s="10"/>
      <c r="D1333" t="s">
        <v>2297</v>
      </c>
      <c r="E1333" t="s">
        <v>1352</v>
      </c>
      <c r="F1333" t="s">
        <v>3405</v>
      </c>
      <c r="G1333" s="14" t="s">
        <v>3361</v>
      </c>
      <c r="H1333" s="14">
        <v>1736</v>
      </c>
      <c r="J1333" t="str">
        <f>HYPERLINK("https://jicheng.tw/tcm/book/%e9%86%ab%e5%b8%ab%e7%a7%98%e7%ac%88/index.html")</f>
        <v>https://jicheng.tw/tcm/book/%e9%86%ab%e5%b8%ab%e7%a7%98%e7%ac%88/index.html</v>
      </c>
    </row>
    <row r="1334" spans="1:10">
      <c r="A1334" s="10" t="s">
        <v>2188</v>
      </c>
      <c r="B1334" s="10"/>
      <c r="C1334" s="10"/>
      <c r="D1334" t="s">
        <v>2298</v>
      </c>
      <c r="E1334" t="s">
        <v>1353</v>
      </c>
      <c r="F1334" t="s">
        <v>3406</v>
      </c>
      <c r="G1334" s="14" t="s">
        <v>3361</v>
      </c>
      <c r="H1334" s="14">
        <v>1743</v>
      </c>
      <c r="J1334" t="str">
        <f>HYPERLINK("https://jicheng.tw/tcm/book/%e9%86%ab%e5%ad%b8%e8%a6%81%e5%89%87/index.html")</f>
        <v>https://jicheng.tw/tcm/book/%e9%86%ab%e5%ad%b8%e8%a6%81%e5%89%87/index.html</v>
      </c>
    </row>
    <row r="1335" spans="1:10">
      <c r="A1335" s="10" t="s">
        <v>2188</v>
      </c>
      <c r="B1335" s="10"/>
      <c r="C1335" s="10"/>
      <c r="D1335" t="s">
        <v>2299</v>
      </c>
      <c r="E1335" t="s">
        <v>1354</v>
      </c>
      <c r="F1335" t="s">
        <v>3407</v>
      </c>
      <c r="G1335" s="14" t="s">
        <v>3365</v>
      </c>
      <c r="J1335" t="str">
        <f>HYPERLINK("https://jicheng.tw/tcm/book/%e6%96%b0%e5%88%bb%e8%8f%af%e4%bd%97%e5%85%a7%e7%85%a7%e5%9c%96/index.html")</f>
        <v>https://jicheng.tw/tcm/book/%e6%96%b0%e5%88%bb%e8%8f%af%e4%bd%97%e5%85%a7%e7%85%a7%e5%9c%96/index.html</v>
      </c>
    </row>
    <row r="1336" spans="1:10">
      <c r="A1336" s="10" t="s">
        <v>2188</v>
      </c>
      <c r="B1336" s="10"/>
      <c r="C1336" s="10"/>
      <c r="D1336" t="s">
        <v>2300</v>
      </c>
      <c r="E1336" t="s">
        <v>1355</v>
      </c>
      <c r="F1336" t="s">
        <v>3408</v>
      </c>
      <c r="G1336" s="14" t="s">
        <v>3365</v>
      </c>
      <c r="J1336" t="str">
        <f>HYPERLINK("https://jicheng.tw/tcm/book/%e6%96%b0%e5%88%8a%e9%86%ab%e5%ad%b8%e9%9b%86%e6%88%90/index.html")</f>
        <v>https://jicheng.tw/tcm/book/%e6%96%b0%e5%88%8a%e9%86%ab%e5%ad%b8%e9%9b%86%e6%88%90/index.html</v>
      </c>
    </row>
    <row r="1337" spans="1:10">
      <c r="A1337" s="10" t="s">
        <v>2188</v>
      </c>
      <c r="B1337" s="10"/>
      <c r="C1337" s="10"/>
      <c r="D1337" t="s">
        <v>2301</v>
      </c>
      <c r="E1337" t="s">
        <v>1356</v>
      </c>
      <c r="F1337" t="s">
        <v>3409</v>
      </c>
      <c r="G1337" s="14" t="s">
        <v>3365</v>
      </c>
      <c r="J1337" t="str">
        <f>HYPERLINK("https://jicheng.tw/tcm/book/%e5%a5%87%e6%95%88%e9%86%ab%e8%bf%b0/index.html")</f>
        <v>https://jicheng.tw/tcm/book/%e5%a5%87%e6%95%88%e9%86%ab%e8%bf%b0/index.html</v>
      </c>
    </row>
    <row r="1338" spans="1:10">
      <c r="A1338" s="10" t="s">
        <v>2302</v>
      </c>
      <c r="B1338" s="10"/>
      <c r="C1338" s="10"/>
      <c r="D1338" t="s">
        <v>2303</v>
      </c>
      <c r="E1338" t="s">
        <v>1357</v>
      </c>
      <c r="F1338" t="s">
        <v>3410</v>
      </c>
      <c r="G1338" s="14" t="s">
        <v>3402</v>
      </c>
      <c r="H1338" s="14">
        <v>1186</v>
      </c>
      <c r="J1338" t="str">
        <f>HYPERLINK("https://jicheng.tw/tcm/book/%e9%86%ab%e5%ad%b8%e5%95%9f%e6%ba%90/index.html")</f>
        <v>https://jicheng.tw/tcm/book/%e9%86%ab%e5%ad%b8%e5%95%9f%e6%ba%90/index.html</v>
      </c>
    </row>
    <row r="1339" spans="1:10">
      <c r="A1339" s="10" t="s">
        <v>2302</v>
      </c>
      <c r="B1339" s="10"/>
      <c r="C1339" s="10"/>
      <c r="D1339" t="s">
        <v>2304</v>
      </c>
      <c r="E1339" t="s">
        <v>1358</v>
      </c>
      <c r="F1339" t="s">
        <v>3411</v>
      </c>
      <c r="G1339" s="14" t="s">
        <v>3361</v>
      </c>
      <c r="H1339" s="14">
        <v>1675</v>
      </c>
      <c r="J1339" t="str">
        <f>HYPERLINK("https://jicheng.tw/tcm/book/%e5%8f%a4%e4%bb%8a%e5%90%8d%e9%86%ab%e5%bd%99%e7%b2%b9/index.html")</f>
        <v>https://jicheng.tw/tcm/book/%e5%8f%a4%e4%bb%8a%e5%90%8d%e9%86%ab%e5%bd%99%e7%b2%b9/index.html</v>
      </c>
    </row>
    <row r="1340" spans="1:10">
      <c r="A1340" s="10" t="s">
        <v>2302</v>
      </c>
      <c r="B1340" s="10"/>
      <c r="C1340" s="10"/>
      <c r="D1340" t="s">
        <v>2305</v>
      </c>
      <c r="E1340" t="s">
        <v>1359</v>
      </c>
      <c r="F1340" t="s">
        <v>3412</v>
      </c>
      <c r="H1340" s="14">
        <v>1831</v>
      </c>
      <c r="J1340" t="str">
        <f>HYPERLINK("https://jicheng.tw/tcm/book/%e4%b8%ad%e5%9c%8b%e9%86%ab%e7%b1%8d%e8%80%83/index.html")</f>
        <v>https://jicheng.tw/tcm/book/%e4%b8%ad%e5%9c%8b%e9%86%ab%e7%b1%8d%e8%80%83/index.html</v>
      </c>
    </row>
    <row r="1341" spans="1:10">
      <c r="A1341" s="10" t="s">
        <v>2302</v>
      </c>
      <c r="B1341" s="10"/>
      <c r="C1341" s="10"/>
      <c r="D1341" t="s">
        <v>2306</v>
      </c>
      <c r="E1341" t="s">
        <v>1360</v>
      </c>
      <c r="F1341" t="s">
        <v>3413</v>
      </c>
      <c r="J1341" t="str">
        <f>HYPERLINK("https://jicheng.tw/tcm/book/%e9%86%ab%e4%ba%8b%e5%95%9f%e6%ba%90/index.html")</f>
        <v>https://jicheng.tw/tcm/book/%e9%86%ab%e4%ba%8b%e5%95%9f%e6%ba%90/index.html</v>
      </c>
    </row>
    <row r="1342" spans="1:10">
      <c r="A1342" s="10" t="s">
        <v>2302</v>
      </c>
      <c r="B1342" s="10"/>
      <c r="C1342" s="10"/>
      <c r="D1342" t="s">
        <v>2307</v>
      </c>
      <c r="E1342" t="s">
        <v>1361</v>
      </c>
      <c r="F1342" t="s">
        <v>3414</v>
      </c>
      <c r="G1342" s="14" t="s">
        <v>3394</v>
      </c>
      <c r="H1342" s="14">
        <v>1935</v>
      </c>
      <c r="J1342" t="str">
        <f>HYPERLINK("https://jicheng.tw/tcm/book/%e4%b8%ad%e5%9c%8b%e9%86%ab%e5%ad%b8%e6%ba%90%e6%b5%81%e8%ab%96/index.html")</f>
        <v>https://jicheng.tw/tcm/book/%e4%b8%ad%e5%9c%8b%e9%86%ab%e5%ad%b8%e6%ba%90%e6%b5%81%e8%ab%96/index.html</v>
      </c>
    </row>
    <row r="1343" spans="1:10">
      <c r="A1343" s="10" t="s">
        <v>2302</v>
      </c>
      <c r="B1343" s="10"/>
      <c r="C1343" s="10"/>
      <c r="D1343" t="s">
        <v>2308</v>
      </c>
      <c r="E1343" t="s">
        <v>1362</v>
      </c>
      <c r="F1343" t="s">
        <v>3415</v>
      </c>
      <c r="J1343" t="str">
        <f>HYPERLINK("https://jicheng.tw/tcm/book/%e7%9a%87%e5%9c%8b%e5%90%8d%e9%86%ab%e5%82%b3/index.html")</f>
        <v>https://jicheng.tw/tcm/book/%e7%9a%87%e5%9c%8b%e5%90%8d%e9%86%ab%e5%82%b3/index.html</v>
      </c>
    </row>
    <row r="1344" spans="1:10">
      <c r="A1344" s="10" t="s">
        <v>1363</v>
      </c>
      <c r="B1344" s="10"/>
      <c r="C1344" s="10"/>
      <c r="D1344" t="s">
        <v>2309</v>
      </c>
      <c r="E1344" t="s">
        <v>1364</v>
      </c>
      <c r="F1344" t="s">
        <v>3416</v>
      </c>
      <c r="J1344" t="str">
        <f>HYPERLINK("https://jicheng.tw/tcm/book/%e6%98%93%e7%b6%93/index.html")</f>
        <v>https://jicheng.tw/tcm/book/%e6%98%93%e7%b6%93/index.html</v>
      </c>
    </row>
    <row r="1345" spans="1:10">
      <c r="A1345" s="10" t="s">
        <v>1363</v>
      </c>
      <c r="B1345" s="10"/>
      <c r="C1345" s="10"/>
      <c r="D1345" t="s">
        <v>2310</v>
      </c>
      <c r="E1345" t="s">
        <v>1365</v>
      </c>
      <c r="F1345" t="s">
        <v>3417</v>
      </c>
      <c r="G1345" s="14" t="s">
        <v>3376</v>
      </c>
      <c r="H1345" s="14">
        <v>1247</v>
      </c>
      <c r="J1345" t="str">
        <f>HYPERLINK("https://jicheng.tw/tcm/book/%e6%b4%97%e5%86%a4%e9%9b%86%e9%8c%84/index.html")</f>
        <v>https://jicheng.tw/tcm/book/%e6%b4%97%e5%86%a4%e9%9b%86%e9%8c%84/index.html</v>
      </c>
    </row>
    <row r="1346" spans="1:10">
      <c r="A1346" s="10" t="s">
        <v>1363</v>
      </c>
      <c r="B1346" s="10"/>
      <c r="C1346" s="10"/>
      <c r="D1346" t="s">
        <v>2311</v>
      </c>
      <c r="E1346" t="s">
        <v>1366</v>
      </c>
      <c r="F1346" t="s">
        <v>3418</v>
      </c>
      <c r="G1346" s="14" t="s">
        <v>3376</v>
      </c>
      <c r="J1346" t="str">
        <f>HYPERLINK("https://jicheng.tw/tcm/book/%e5%a4%aa%e9%86%ab%e5%b1%80%e8%ab%b8%e7%a7%91%e7%a8%8b%e6%96%87%e6%a0%bc/index.html")</f>
        <v>https://jicheng.tw/tcm/book/%e5%a4%aa%e9%86%ab%e5%b1%80%e8%ab%b8%e7%a7%91%e7%a8%8b%e6%96%87%e6%a0%bc/index.html</v>
      </c>
    </row>
    <row r="1347" spans="1:10">
      <c r="A1347" s="10" t="s">
        <v>1367</v>
      </c>
      <c r="B1347" s="10" t="s">
        <v>1565</v>
      </c>
      <c r="C1347" s="10"/>
      <c r="D1347" t="s">
        <v>3268</v>
      </c>
      <c r="E1347" t="s">
        <v>274</v>
      </c>
      <c r="F1347" t="s">
        <v>3419</v>
      </c>
      <c r="G1347" s="14" t="s">
        <v>3365</v>
      </c>
      <c r="H1347" s="14">
        <v>1406</v>
      </c>
      <c r="J1347" t="s">
        <v>3265</v>
      </c>
    </row>
    <row r="1348" spans="1:10">
      <c r="A1348" s="10" t="s">
        <v>1367</v>
      </c>
      <c r="B1348" s="10" t="s">
        <v>1565</v>
      </c>
      <c r="C1348" s="10"/>
      <c r="D1348" t="s">
        <v>3267</v>
      </c>
      <c r="E1348" t="s">
        <v>3266</v>
      </c>
      <c r="F1348" t="s">
        <v>3419</v>
      </c>
      <c r="G1348" s="14" t="s">
        <v>3365</v>
      </c>
      <c r="H1348" s="14">
        <v>1406</v>
      </c>
      <c r="J1348" t="str">
        <f>HYPERLINK("https://jicheng.tw/tcm/book/%e6%99%ae%e6%bf%9f%e6%96%b9/%e5%ac%b0%e5%ad%a9%e9%96%80/index.html")</f>
        <v>https://jicheng.tw/tcm/book/%e6%99%ae%e6%bf%9f%e6%96%b9/%e5%ac%b0%e5%ad%a9%e9%96%80/index.html</v>
      </c>
    </row>
    <row r="1349" spans="1:10">
      <c r="A1349" s="10" t="s">
        <v>1367</v>
      </c>
      <c r="B1349" s="10" t="s">
        <v>1565</v>
      </c>
      <c r="C1349" s="10"/>
      <c r="D1349" t="s">
        <v>1663</v>
      </c>
      <c r="E1349" t="s">
        <v>402</v>
      </c>
      <c r="F1349" t="s">
        <v>3419</v>
      </c>
      <c r="G1349" s="14" t="s">
        <v>3365</v>
      </c>
      <c r="H1349" s="14">
        <v>1406</v>
      </c>
      <c r="J1349" t="str">
        <f>HYPERLINK("https://jicheng.tw/tcm/book/%e6%99%ae%e6%bf%9f%e6%96%b9/%e9%87%9d%e7%81%b8%e9%96%80/index.html")</f>
        <v>https://jicheng.tw/tcm/book/%e6%99%ae%e6%bf%9f%e6%96%b9/%e9%87%9d%e7%81%b8%e9%96%80/index.html</v>
      </c>
    </row>
    <row r="1350" spans="1:10">
      <c r="A1350" s="10" t="s">
        <v>1367</v>
      </c>
      <c r="B1350" s="10" t="s">
        <v>2312</v>
      </c>
      <c r="C1350" s="10"/>
      <c r="D1350" t="s">
        <v>1798</v>
      </c>
      <c r="E1350" s="1" t="s">
        <v>625</v>
      </c>
      <c r="F1350" t="s">
        <v>3420</v>
      </c>
      <c r="G1350" s="14" t="s">
        <v>3365</v>
      </c>
      <c r="H1350" s="14" t="s">
        <v>3264</v>
      </c>
      <c r="I1350" s="1"/>
      <c r="J1350" s="1" t="str">
        <f>HYPERLINK("https://jicheng.tw/tcm/book/%e5%85%a7%e7%a7%91%e6%91%98%e8%a6%81/index.html")</f>
        <v>https://jicheng.tw/tcm/book/%e5%85%a7%e7%a7%91%e6%91%98%e8%a6%81/index.html</v>
      </c>
    </row>
    <row r="1351" spans="1:10">
      <c r="A1351" s="10" t="s">
        <v>1367</v>
      </c>
      <c r="B1351" s="10" t="s">
        <v>2312</v>
      </c>
      <c r="C1351" s="10"/>
      <c r="D1351" t="s">
        <v>685</v>
      </c>
      <c r="E1351" t="s">
        <v>685</v>
      </c>
      <c r="F1351" t="s">
        <v>3420</v>
      </c>
      <c r="G1351" s="14" t="s">
        <v>3365</v>
      </c>
      <c r="H1351" s="14">
        <v>1548</v>
      </c>
      <c r="J1351" t="str">
        <f>HYPERLINK("https://jicheng.tw/tcm/book/%e5%a5%b3%e7%a7%91%e6%92%ae%e8%a6%81/index.html")</f>
        <v>https://jicheng.tw/tcm/book/%e5%a5%b3%e7%a7%91%e6%92%ae%e8%a6%81/index.html</v>
      </c>
    </row>
    <row r="1352" spans="1:10">
      <c r="A1352" s="10" t="s">
        <v>1367</v>
      </c>
      <c r="B1352" s="10" t="s">
        <v>2312</v>
      </c>
      <c r="C1352" s="10"/>
      <c r="D1352" t="s">
        <v>2313</v>
      </c>
      <c r="E1352" t="s">
        <v>1368</v>
      </c>
      <c r="F1352" t="s">
        <v>3420</v>
      </c>
      <c r="G1352" s="14" t="s">
        <v>3365</v>
      </c>
      <c r="H1352" s="14">
        <v>1529</v>
      </c>
      <c r="J1352" t="str">
        <f>HYPERLINK("https://jicheng.tw/tcm/book/%e4%bf%9d%e5%ac%b0%e7%b2%b9%e8%a6%81/index.html")</f>
        <v>https://jicheng.tw/tcm/book/%e4%bf%9d%e5%ac%b0%e7%b2%b9%e8%a6%81/index.html</v>
      </c>
    </row>
    <row r="1353" spans="1:10">
      <c r="A1353" s="10" t="s">
        <v>1367</v>
      </c>
      <c r="B1353" s="10" t="s">
        <v>2312</v>
      </c>
      <c r="C1353" s="10"/>
      <c r="D1353" t="s">
        <v>1901</v>
      </c>
      <c r="E1353" t="s">
        <v>790</v>
      </c>
      <c r="F1353" t="s">
        <v>3420</v>
      </c>
      <c r="G1353" s="14" t="s">
        <v>3365</v>
      </c>
      <c r="H1353" s="14">
        <v>1555</v>
      </c>
      <c r="J1353" t="str">
        <f>HYPERLINK("https://jicheng.tw/tcm/book/%e4%bf%9d%e5%ac%b0%e9%87%91%e9%8f%a1%e9%8c%84/index.html")</f>
        <v>https://jicheng.tw/tcm/book/%e4%bf%9d%e5%ac%b0%e9%87%91%e9%8f%a1%e9%8c%84/index.html</v>
      </c>
    </row>
    <row r="1354" spans="1:10">
      <c r="A1354" s="10" t="s">
        <v>1367</v>
      </c>
      <c r="B1354" s="10" t="s">
        <v>2312</v>
      </c>
      <c r="C1354" s="10"/>
      <c r="D1354" t="s">
        <v>1958</v>
      </c>
      <c r="E1354" t="s">
        <v>909</v>
      </c>
      <c r="F1354" t="s">
        <v>3421</v>
      </c>
      <c r="G1354" s="14" t="s">
        <v>3422</v>
      </c>
      <c r="H1354" s="14">
        <v>1370</v>
      </c>
      <c r="J1354" t="str">
        <f>HYPERLINK("https://jicheng.tw/tcm/book/%e5%8e%9f%e6%a9%9f%e5%95%9f%e5%be%ae/index.html")</f>
        <v>https://jicheng.tw/tcm/book/%e5%8e%9f%e6%a9%9f%e5%95%9f%e5%be%ae/index.html</v>
      </c>
    </row>
    <row r="1355" spans="1:10">
      <c r="A1355" s="10" t="s">
        <v>1367</v>
      </c>
      <c r="B1355" s="10" t="s">
        <v>2312</v>
      </c>
      <c r="C1355" s="10"/>
      <c r="D1355" t="s">
        <v>1972</v>
      </c>
      <c r="E1355" t="s">
        <v>949</v>
      </c>
      <c r="F1355" t="s">
        <v>3420</v>
      </c>
      <c r="G1355" s="14" t="s">
        <v>3365</v>
      </c>
      <c r="H1355" s="14">
        <v>1528</v>
      </c>
      <c r="J1355" t="str">
        <f>HYPERLINK("https://jicheng.tw/tcm/book/%e5%8f%a3%e9%bd%92%e9%a1%9e%e8%a6%81/index.html")</f>
        <v>https://jicheng.tw/tcm/book/%e5%8f%a3%e9%bd%92%e9%a1%9e%e8%a6%81/index.html</v>
      </c>
    </row>
    <row r="1356" spans="1:10">
      <c r="A1356" s="10" t="s">
        <v>1367</v>
      </c>
      <c r="B1356" s="10" t="s">
        <v>2312</v>
      </c>
      <c r="C1356" s="10"/>
      <c r="D1356" t="s">
        <v>1956</v>
      </c>
      <c r="E1356" t="s">
        <v>905</v>
      </c>
      <c r="F1356" t="s">
        <v>3420</v>
      </c>
      <c r="G1356" s="14" t="s">
        <v>3365</v>
      </c>
      <c r="H1356" s="14">
        <v>1529</v>
      </c>
      <c r="J1356" t="str">
        <f>HYPERLINK("https://jicheng.tw/tcm/book/%e6%ad%a3%e9%ab%94%e9%a1%9e%e8%a6%81/index.html")</f>
        <v>https://jicheng.tw/tcm/book/%e6%ad%a3%e9%ab%94%e9%a1%9e%e8%a6%81/index.html</v>
      </c>
    </row>
    <row r="1357" spans="1:10">
      <c r="A1357" s="10" t="s">
        <v>1367</v>
      </c>
      <c r="B1357" s="10" t="s">
        <v>2312</v>
      </c>
      <c r="C1357" s="10"/>
      <c r="D1357" t="s">
        <v>1935</v>
      </c>
      <c r="E1357" t="s">
        <v>857</v>
      </c>
      <c r="F1357" t="s">
        <v>3420</v>
      </c>
      <c r="G1357" s="14" t="s">
        <v>3365</v>
      </c>
      <c r="H1357" s="14">
        <v>1545</v>
      </c>
      <c r="J1357" t="str">
        <f>HYPERLINK("https://jicheng.tw/tcm/book/%e5%a4%96%e7%a7%91%e6%a8%9e%e8%a6%81/index.html")</f>
        <v>https://jicheng.tw/tcm/book/%e5%a4%96%e7%a7%91%e6%a8%9e%e8%a6%81/index.html</v>
      </c>
    </row>
    <row r="1358" spans="1:10">
      <c r="A1358" s="10" t="s">
        <v>1367</v>
      </c>
      <c r="B1358" s="10" t="s">
        <v>2312</v>
      </c>
      <c r="C1358" s="10"/>
      <c r="D1358" t="s">
        <v>873</v>
      </c>
      <c r="E1358" t="s">
        <v>873</v>
      </c>
      <c r="F1358" t="s">
        <v>3420</v>
      </c>
      <c r="G1358" s="14" t="s">
        <v>3365</v>
      </c>
      <c r="H1358" s="14">
        <v>1554</v>
      </c>
      <c r="J1358" t="str">
        <f>HYPERLINK("https://jicheng.tw/tcm/book/%e7%99%98%e7%98%8d%e6%a9%9f%e8%a6%81/index.html")</f>
        <v>https://jicheng.tw/tcm/book/%e7%99%98%e7%98%8d%e6%a9%9f%e8%a6%81/index.html</v>
      </c>
    </row>
    <row r="1359" spans="1:10">
      <c r="A1359" s="10" t="s">
        <v>1367</v>
      </c>
      <c r="B1359" s="10" t="s">
        <v>2312</v>
      </c>
      <c r="C1359" s="10"/>
      <c r="D1359" t="s">
        <v>2224</v>
      </c>
      <c r="E1359" t="s">
        <v>1261</v>
      </c>
      <c r="F1359" t="s">
        <v>3423</v>
      </c>
      <c r="G1359" s="14" t="s">
        <v>3365</v>
      </c>
      <c r="H1359" s="14">
        <v>1502</v>
      </c>
      <c r="J1359" t="str">
        <f>HYPERLINK("https://jicheng.tw/tcm/book/%e6%98%8e%e9%86%ab%e9%9b%9c%e8%91%97/index.html")</f>
        <v>https://jicheng.tw/tcm/book/%e6%98%8e%e9%86%ab%e9%9b%9c%e8%91%97/index.html</v>
      </c>
    </row>
    <row r="1360" spans="1:10">
      <c r="A1360" s="10" t="s">
        <v>1367</v>
      </c>
      <c r="B1360" s="10" t="s">
        <v>2312</v>
      </c>
      <c r="C1360" s="10"/>
      <c r="D1360" t="s">
        <v>1369</v>
      </c>
      <c r="E1360" t="s">
        <v>1369</v>
      </c>
      <c r="F1360" t="s">
        <v>3420</v>
      </c>
      <c r="G1360" s="14" t="s">
        <v>3365</v>
      </c>
      <c r="H1360" s="14">
        <v>1237</v>
      </c>
      <c r="J1360" s="4" t="s">
        <v>2431</v>
      </c>
    </row>
    <row r="1361" spans="1:10">
      <c r="A1361" s="10" t="s">
        <v>1367</v>
      </c>
      <c r="B1361" s="10" t="s">
        <v>2312</v>
      </c>
      <c r="C1361" s="10"/>
      <c r="D1361" t="s">
        <v>1480</v>
      </c>
      <c r="E1361" t="s">
        <v>134</v>
      </c>
      <c r="F1361" t="s">
        <v>3424</v>
      </c>
      <c r="G1361" s="14" t="s">
        <v>3422</v>
      </c>
      <c r="H1361" s="14">
        <v>1341</v>
      </c>
      <c r="J1361" t="str">
        <f>HYPERLINK("https://jicheng.tw/tcm/book/%e6%95%96%e6%b0%8f%e5%82%b7%e5%af%92%e9%87%91%e9%8f%a1%e9%8c%84/index.html")</f>
        <v>https://jicheng.tw/tcm/book/%e6%95%96%e6%b0%8f%e5%82%b7%e5%af%92%e9%87%91%e9%8f%a1%e9%8c%84/index.html</v>
      </c>
    </row>
    <row r="1362" spans="1:10">
      <c r="A1362" s="10" t="s">
        <v>1367</v>
      </c>
      <c r="B1362" s="10" t="s">
        <v>2312</v>
      </c>
      <c r="C1362" s="10"/>
      <c r="D1362" t="s">
        <v>1897</v>
      </c>
      <c r="E1362" t="s">
        <v>781</v>
      </c>
      <c r="F1362" t="s">
        <v>3425</v>
      </c>
      <c r="G1362" s="14" t="s">
        <v>3376</v>
      </c>
      <c r="J1362" t="str">
        <f>HYPERLINK("https://jicheng.tw/tcm/book/%e9%8c%a2%e6%b0%8f%e5%b0%8f%e5%85%92%e7%9b%b4%e8%a8%a3/index.html")</f>
        <v>https://jicheng.tw/tcm/book/%e9%8c%a2%e6%b0%8f%e5%b0%8f%e5%85%92%e7%9b%b4%e8%a8%a3/index.html</v>
      </c>
    </row>
    <row r="1363" spans="1:10">
      <c r="A1363" s="10" t="s">
        <v>1367</v>
      </c>
      <c r="B1363" s="10" t="s">
        <v>2312</v>
      </c>
      <c r="C1363" s="10"/>
      <c r="D1363" t="s">
        <v>774</v>
      </c>
      <c r="E1363" t="s">
        <v>774</v>
      </c>
      <c r="F1363" t="s">
        <v>3426</v>
      </c>
      <c r="G1363" s="14" t="s">
        <v>3365</v>
      </c>
      <c r="H1363" s="14">
        <v>1555</v>
      </c>
      <c r="J1363" t="str">
        <f>HYPERLINK("https://jicheng.tw/tcm/book/%e4%bf%9d%e5%ac%b0%e6%92%ae%e8%a6%81/index.html")</f>
        <v>https://jicheng.tw/tcm/book/%e4%bf%9d%e5%ac%b0%e6%92%ae%e8%a6%81/index.html</v>
      </c>
    </row>
    <row r="1364" spans="1:10">
      <c r="A1364" s="10" t="s">
        <v>1367</v>
      </c>
      <c r="B1364" s="10" t="s">
        <v>2312</v>
      </c>
      <c r="C1364" s="10"/>
      <c r="D1364" t="s">
        <v>846</v>
      </c>
      <c r="E1364" t="s">
        <v>846</v>
      </c>
      <c r="F1364" t="s">
        <v>3427</v>
      </c>
      <c r="G1364" s="14" t="s">
        <v>3376</v>
      </c>
      <c r="H1364" s="14">
        <v>1263</v>
      </c>
      <c r="J1364" t="str">
        <f>HYPERLINK("https://jicheng.tw/tcm/book/%e5%a4%96%e7%a7%91%e7%b2%be%e8%a6%81/index.html")</f>
        <v>https://jicheng.tw/tcm/book/%e5%a4%96%e7%a7%91%e7%b2%be%e8%a6%81/index.html</v>
      </c>
    </row>
    <row r="1365" spans="1:10">
      <c r="A1365" s="10" t="s">
        <v>1367</v>
      </c>
      <c r="B1365" s="10" t="s">
        <v>2312</v>
      </c>
      <c r="C1365" s="10"/>
      <c r="D1365" t="s">
        <v>1915</v>
      </c>
      <c r="E1365" t="s">
        <v>813</v>
      </c>
      <c r="F1365" t="s">
        <v>3428</v>
      </c>
      <c r="G1365" s="14" t="s">
        <v>3429</v>
      </c>
      <c r="H1365" s="14">
        <v>1253</v>
      </c>
      <c r="J1365" t="str">
        <f>HYPERLINK("https://jicheng.tw/tcm/book/%e5%b0%8f%e5%85%92%e7%97%98%e7%96%b9%e6%96%b9%e8%ab%96/index.html")</f>
        <v>https://jicheng.tw/tcm/book/%e5%b0%8f%e5%85%92%e7%97%98%e7%96%b9%e6%96%b9%e8%ab%96/index.html</v>
      </c>
    </row>
    <row r="1366" spans="1:10">
      <c r="A1366" s="10" t="s">
        <v>1367</v>
      </c>
      <c r="B1366" s="10" t="s">
        <v>2314</v>
      </c>
      <c r="C1366" s="10"/>
      <c r="D1366" t="s">
        <v>1799</v>
      </c>
      <c r="E1366" t="s">
        <v>626</v>
      </c>
      <c r="F1366" t="s">
        <v>3430</v>
      </c>
      <c r="G1366" s="14" t="s">
        <v>3365</v>
      </c>
      <c r="H1366" s="14">
        <v>1602</v>
      </c>
      <c r="J1366" t="str">
        <f>HYPERLINK("https://jicheng.tw/tcm/book/%e8%ad%89%e6%b2%bb%e6%ba%96%e7%b9%a9/%e9%9b%9c%e7%97%85/index.html")</f>
        <v>https://jicheng.tw/tcm/book/%e8%ad%89%e6%b2%bb%e6%ba%96%e7%b9%a9/%e9%9b%9c%e7%97%85/index.html</v>
      </c>
    </row>
    <row r="1367" spans="1:10">
      <c r="A1367" s="10" t="s">
        <v>1367</v>
      </c>
      <c r="B1367" s="10" t="s">
        <v>2314</v>
      </c>
      <c r="C1367" s="10"/>
      <c r="D1367" t="s">
        <v>1572</v>
      </c>
      <c r="E1367" t="s">
        <v>282</v>
      </c>
      <c r="F1367" t="s">
        <v>3430</v>
      </c>
      <c r="G1367" s="14" t="s">
        <v>3365</v>
      </c>
      <c r="H1367" s="14">
        <v>1602</v>
      </c>
      <c r="J1367" t="str">
        <f>HYPERLINK("https://jicheng.tw/tcm/book/%e8%ad%89%e6%b2%bb%e6%ba%96%e7%b9%a9/%e9%a1%9e%e6%96%b9/index.html")</f>
        <v>https://jicheng.tw/tcm/book/%e8%ad%89%e6%b2%bb%e6%ba%96%e7%b9%a9/%e9%a1%9e%e6%96%b9/index.html</v>
      </c>
    </row>
    <row r="1368" spans="1:10">
      <c r="A1368" s="10" t="s">
        <v>1367</v>
      </c>
      <c r="B1368" s="10" t="s">
        <v>2314</v>
      </c>
      <c r="C1368" s="10"/>
      <c r="D1368" t="s">
        <v>1832</v>
      </c>
      <c r="E1368" t="s">
        <v>669</v>
      </c>
      <c r="F1368" t="s">
        <v>3430</v>
      </c>
      <c r="G1368" s="14" t="s">
        <v>3365</v>
      </c>
      <c r="H1368" s="14">
        <v>1602</v>
      </c>
      <c r="J1368" t="str">
        <f>HYPERLINK("https://jicheng.tw/tcm/book/%e8%ad%89%e6%b2%bb%e6%ba%96%e7%b9%a9/%e5%82%b7%e5%af%92/index.html")</f>
        <v>https://jicheng.tw/tcm/book/%e8%ad%89%e6%b2%bb%e6%ba%96%e7%b9%a9/%e5%82%b7%e5%af%92/index.html</v>
      </c>
    </row>
    <row r="1369" spans="1:10">
      <c r="A1369" s="10" t="s">
        <v>1367</v>
      </c>
      <c r="B1369" s="10" t="s">
        <v>2314</v>
      </c>
      <c r="C1369" s="10"/>
      <c r="D1369" t="s">
        <v>2315</v>
      </c>
      <c r="E1369" t="s">
        <v>1370</v>
      </c>
      <c r="F1369" t="s">
        <v>3430</v>
      </c>
      <c r="G1369" s="14" t="s">
        <v>3365</v>
      </c>
      <c r="H1369" s="14">
        <v>1602</v>
      </c>
      <c r="J1369" t="str">
        <f>HYPERLINK("https://jicheng.tw/tcm/book/%e8%ad%89%e6%b2%bb%e6%ba%96%e7%b9%a9/%e5%82%b7%e5%af%92%5f%31/index.html")</f>
        <v>https://jicheng.tw/tcm/book/%e8%ad%89%e6%b2%bb%e6%ba%96%e7%b9%a9/%e5%82%b7%e5%af%92%5f%31/index.html</v>
      </c>
    </row>
    <row r="1370" spans="1:10">
      <c r="A1370" s="10" t="s">
        <v>1367</v>
      </c>
      <c r="B1370" s="10" t="s">
        <v>2314</v>
      </c>
      <c r="C1370" s="10"/>
      <c r="D1370" t="s">
        <v>1847</v>
      </c>
      <c r="E1370" t="s">
        <v>708</v>
      </c>
      <c r="F1370" t="s">
        <v>3430</v>
      </c>
      <c r="G1370" s="14" t="s">
        <v>3365</v>
      </c>
      <c r="H1370" s="14">
        <v>1602</v>
      </c>
      <c r="J1370" t="str">
        <f>HYPERLINK("https://jicheng.tw/tcm/book/%e8%ad%89%e6%b2%bb%e6%ba%96%e7%b9%a9/%e5%a5%b3%e7%a7%91/index.html")</f>
        <v>https://jicheng.tw/tcm/book/%e8%ad%89%e6%b2%bb%e6%ba%96%e7%b9%a9/%e5%a5%b3%e7%a7%91/index.html</v>
      </c>
    </row>
    <row r="1371" spans="1:10">
      <c r="A1371" s="10" t="s">
        <v>1367</v>
      </c>
      <c r="B1371" s="10" t="s">
        <v>2314</v>
      </c>
      <c r="C1371" s="10"/>
      <c r="D1371" t="s">
        <v>2316</v>
      </c>
      <c r="E1371" t="s">
        <v>1371</v>
      </c>
      <c r="F1371" t="s">
        <v>3430</v>
      </c>
      <c r="G1371" s="14" t="s">
        <v>3365</v>
      </c>
      <c r="H1371" s="14">
        <v>1602</v>
      </c>
      <c r="J1371" t="str">
        <f>HYPERLINK("https://jicheng.tw/tcm/book/%e8%ad%89%e6%b2%bb%e6%ba%96%e7%b9%a9/%e5%a5%b3%e7%a7%91%5f%31/index.html")</f>
        <v>https://jicheng.tw/tcm/book/%e8%ad%89%e6%b2%bb%e6%ba%96%e7%b9%a9/%e5%a5%b3%e7%a7%91%5f%31/index.html</v>
      </c>
    </row>
    <row r="1372" spans="1:10">
      <c r="A1372" s="10" t="s">
        <v>1367</v>
      </c>
      <c r="B1372" s="10" t="s">
        <v>2314</v>
      </c>
      <c r="C1372" s="10"/>
      <c r="D1372" t="s">
        <v>1905</v>
      </c>
      <c r="E1372" t="s">
        <v>797</v>
      </c>
      <c r="F1372" t="s">
        <v>3430</v>
      </c>
      <c r="G1372" s="14" t="s">
        <v>3365</v>
      </c>
      <c r="H1372" s="14">
        <v>1602</v>
      </c>
      <c r="J1372" t="str">
        <f>HYPERLINK("https://jicheng.tw/tcm/book/%e8%ad%89%e6%b2%bb%e6%ba%96%e7%b9%a9/%e5%b9%bc%e7%a7%91/index.html")</f>
        <v>https://jicheng.tw/tcm/book/%e8%ad%89%e6%b2%bb%e6%ba%96%e7%b9%a9/%e5%b9%bc%e7%a7%91/index.html</v>
      </c>
    </row>
    <row r="1373" spans="1:10">
      <c r="A1373" s="10" t="s">
        <v>1367</v>
      </c>
      <c r="B1373" s="10" t="s">
        <v>2314</v>
      </c>
      <c r="C1373" s="10"/>
      <c r="D1373" t="s">
        <v>1937</v>
      </c>
      <c r="E1373" t="s">
        <v>862</v>
      </c>
      <c r="F1373" t="s">
        <v>3430</v>
      </c>
      <c r="G1373" s="14" t="s">
        <v>3365</v>
      </c>
      <c r="H1373" s="14">
        <v>1602</v>
      </c>
      <c r="J1373" t="str">
        <f>HYPERLINK("https://jicheng.tw/tcm/book/%e8%ad%89%e6%b2%bb%e6%ba%96%e7%b9%a9/%e7%98%8d%e9%86%ab/index.html")</f>
        <v>https://jicheng.tw/tcm/book/%e8%ad%89%e6%b2%bb%e6%ba%96%e7%b9%a9/%e7%98%8d%e9%86%ab/index.html</v>
      </c>
    </row>
    <row r="1374" spans="1:10">
      <c r="A1374" s="10" t="s">
        <v>1367</v>
      </c>
      <c r="B1374" s="10" t="s">
        <v>2317</v>
      </c>
      <c r="C1374" s="10"/>
      <c r="D1374" t="s">
        <v>1710</v>
      </c>
      <c r="E1374" t="s">
        <v>480</v>
      </c>
      <c r="F1374" t="s">
        <v>3431</v>
      </c>
      <c r="G1374" s="14" t="s">
        <v>3361</v>
      </c>
      <c r="H1374" s="14">
        <v>1742</v>
      </c>
      <c r="J1374" t="str">
        <f>HYPERLINK("https://jicheng.tw/tcm/book/%e9%86%ab%e5%ae%97%e9%87%91%e9%91%91/%e8%a8%82%e6%ad%a3%e4%bb%b2%e6%99%af%e5%85%a8%e6%9b%b8%e5%82%b7%e5%af%92%e8%ab%96%e8%a8%bb/index.html")</f>
        <v>https://jicheng.tw/tcm/book/%e9%86%ab%e5%ae%97%e9%87%91%e9%91%91/%e8%a8%82%e6%ad%a3%e4%bb%b2%e6%99%af%e5%85%a8%e6%9b%b8%e5%82%b7%e5%af%92%e8%ab%96%e8%a8%bb/index.html</v>
      </c>
    </row>
    <row r="1375" spans="1:10">
      <c r="A1375" s="10" t="s">
        <v>1367</v>
      </c>
      <c r="B1375" s="10" t="s">
        <v>2317</v>
      </c>
      <c r="C1375" s="10"/>
      <c r="D1375" t="s">
        <v>1741</v>
      </c>
      <c r="E1375" t="s">
        <v>550</v>
      </c>
      <c r="F1375" t="s">
        <v>3431</v>
      </c>
      <c r="G1375" s="14" t="s">
        <v>3361</v>
      </c>
      <c r="H1375" s="14">
        <v>1742</v>
      </c>
      <c r="J1375" t="str">
        <f>HYPERLINK("https://jicheng.tw/tcm/book/%e9%86%ab%e5%ae%97%e9%87%91%e9%91%91/%e8%a8%82%e6%ad%a3%e4%bb%b2%e6%99%af%e5%85%a8%e6%9b%b8%e9%87%91%e5%8c%b1%e8%a6%81%e7%95%a5%e8%a8%bb/index.html")</f>
        <v>https://jicheng.tw/tcm/book/%e9%86%ab%e5%ae%97%e9%87%91%e9%91%91/%e8%a8%82%e6%ad%a3%e4%bb%b2%e6%99%af%e5%85%a8%e6%9b%b8%e9%87%91%e5%8c%b1%e8%a6%81%e7%95%a5%e8%a8%bb/index.html</v>
      </c>
    </row>
    <row r="1376" spans="1:10">
      <c r="A1376" s="10" t="s">
        <v>1367</v>
      </c>
      <c r="B1376" s="10" t="s">
        <v>2317</v>
      </c>
      <c r="C1376" s="10"/>
      <c r="D1376" t="s">
        <v>1594</v>
      </c>
      <c r="E1376" t="s">
        <v>312</v>
      </c>
      <c r="F1376" t="s">
        <v>3431</v>
      </c>
      <c r="G1376" s="14" t="s">
        <v>3361</v>
      </c>
      <c r="H1376" s="14">
        <v>1742</v>
      </c>
      <c r="J1376" t="str">
        <f>HYPERLINK("https://jicheng.tw/tcm/book/%e9%86%ab%e5%ae%97%e9%87%91%e9%91%91/%e5%88%aa%e8%a3%9c%e5%90%8d%e9%86%ab%e6%96%b9%e8%ab%96/index.html")</f>
        <v>https://jicheng.tw/tcm/book/%e9%86%ab%e5%ae%97%e9%87%91%e9%91%91/%e5%88%aa%e8%a3%9c%e5%90%8d%e9%86%ab%e6%96%b9%e8%ab%96/index.html</v>
      </c>
    </row>
    <row r="1377" spans="1:10">
      <c r="A1377" s="10" t="s">
        <v>1367</v>
      </c>
      <c r="B1377" s="10" t="s">
        <v>2317</v>
      </c>
      <c r="C1377" s="10"/>
      <c r="D1377" t="s">
        <v>1451</v>
      </c>
      <c r="E1377" t="s">
        <v>80</v>
      </c>
      <c r="F1377" t="s">
        <v>3431</v>
      </c>
      <c r="G1377" s="14" t="s">
        <v>3361</v>
      </c>
      <c r="H1377" s="14">
        <v>1742</v>
      </c>
      <c r="J1377" t="str">
        <f>HYPERLINK("https://jicheng.tw/tcm/book/%e9%86%ab%e5%ae%97%e9%87%91%e9%91%91/%e5%9b%9b%e8%a8%ba%e5%bf%83%e6%b3%95%e8%a6%81%e8%a8%a3/index.html")</f>
        <v>https://jicheng.tw/tcm/book/%e9%86%ab%e5%ae%97%e9%87%91%e9%91%91/%e5%9b%9b%e8%a8%ba%e5%bf%83%e6%b3%95%e8%a6%81%e8%a8%a3/index.html</v>
      </c>
    </row>
    <row r="1378" spans="1:10">
      <c r="A1378" s="10" t="s">
        <v>1367</v>
      </c>
      <c r="B1378" s="10" t="s">
        <v>2317</v>
      </c>
      <c r="C1378" s="10"/>
      <c r="D1378" t="s">
        <v>1400</v>
      </c>
      <c r="E1378" t="s">
        <v>22</v>
      </c>
      <c r="F1378" t="s">
        <v>3431</v>
      </c>
      <c r="G1378" s="14" t="s">
        <v>3361</v>
      </c>
      <c r="H1378" s="14">
        <v>1742</v>
      </c>
      <c r="J1378" t="str">
        <f>HYPERLINK("https://jicheng.tw/tcm/book/%e9%86%ab%e5%ae%97%e9%87%91%e9%91%91/%e9%81%8b%e6%b0%a3%e8%a6%81%e8%a8%a3/index.html")</f>
        <v>https://jicheng.tw/tcm/book/%e9%86%ab%e5%ae%97%e9%87%91%e9%91%91/%e9%81%8b%e6%b0%a3%e8%a6%81%e8%a8%a3/index.html</v>
      </c>
    </row>
    <row r="1379" spans="1:10">
      <c r="A1379" s="10" t="s">
        <v>1367</v>
      </c>
      <c r="B1379" s="10" t="s">
        <v>2317</v>
      </c>
      <c r="C1379" s="10"/>
      <c r="D1379" t="s">
        <v>1732</v>
      </c>
      <c r="E1379" t="s">
        <v>530</v>
      </c>
      <c r="F1379" t="s">
        <v>3431</v>
      </c>
      <c r="G1379" s="14" t="s">
        <v>3361</v>
      </c>
      <c r="H1379" s="14">
        <v>1742</v>
      </c>
      <c r="J1379" t="str">
        <f>HYPERLINK("https://jicheng.tw/tcm/book/%e9%86%ab%e5%ae%97%e9%87%91%e9%91%91/%e5%82%b7%e5%af%92%e5%bf%83%e6%b3%95%e8%a6%81%e8%a8%a3/index.html")</f>
        <v>https://jicheng.tw/tcm/book/%e9%86%ab%e5%ae%97%e9%87%91%e9%91%91/%e5%82%b7%e5%af%92%e5%bf%83%e6%b3%95%e8%a6%81%e8%a8%a3/index.html</v>
      </c>
    </row>
    <row r="1380" spans="1:10">
      <c r="A1380" s="10" t="s">
        <v>1367</v>
      </c>
      <c r="B1380" s="10" t="s">
        <v>2317</v>
      </c>
      <c r="C1380" s="10"/>
      <c r="D1380" t="s">
        <v>1791</v>
      </c>
      <c r="E1380" t="s">
        <v>618</v>
      </c>
      <c r="F1380" t="s">
        <v>3431</v>
      </c>
      <c r="G1380" s="14" t="s">
        <v>3361</v>
      </c>
      <c r="H1380" s="14">
        <v>1742</v>
      </c>
      <c r="J1380" t="str">
        <f>HYPERLINK("https://jicheng.tw/tcm/book/%e9%86%ab%e5%ae%97%e9%87%91%e9%91%91/%e9%9b%9c%e7%97%85%e5%bf%83%e6%b3%95%e8%a6%81%e8%a8%a3/index.html")</f>
        <v>https://jicheng.tw/tcm/book/%e9%86%ab%e5%ae%97%e9%87%91%e9%91%91/%e9%9b%9c%e7%97%85%e5%bf%83%e6%b3%95%e8%a6%81%e8%a8%a3/index.html</v>
      </c>
    </row>
    <row r="1381" spans="1:10">
      <c r="A1381" s="10" t="s">
        <v>1367</v>
      </c>
      <c r="B1381" s="10" t="s">
        <v>2317</v>
      </c>
      <c r="C1381" s="10"/>
      <c r="D1381" t="s">
        <v>1840</v>
      </c>
      <c r="E1381" t="s">
        <v>683</v>
      </c>
      <c r="F1381" t="s">
        <v>3431</v>
      </c>
      <c r="G1381" s="14" t="s">
        <v>3361</v>
      </c>
      <c r="H1381" s="14">
        <v>1742</v>
      </c>
      <c r="J1381" t="str">
        <f>HYPERLINK("https://jicheng.tw/tcm/book/%e9%86%ab%e5%ae%97%e9%87%91%e9%91%91/%e5%a9%a6%e7%a7%91%e5%bf%83%e6%b3%95%e8%a6%81%e8%a8%a3/index.html")</f>
        <v>https://jicheng.tw/tcm/book/%e9%86%ab%e5%ae%97%e9%87%91%e9%91%91/%e5%a9%a6%e7%a7%91%e5%bf%83%e6%b3%95%e8%a6%81%e8%a8%a3/index.html</v>
      </c>
    </row>
    <row r="1382" spans="1:10">
      <c r="A1382" s="10" t="s">
        <v>1367</v>
      </c>
      <c r="B1382" s="10" t="s">
        <v>2317</v>
      </c>
      <c r="C1382" s="10"/>
      <c r="D1382" t="s">
        <v>1900</v>
      </c>
      <c r="E1382" t="s">
        <v>789</v>
      </c>
      <c r="F1382" t="s">
        <v>3431</v>
      </c>
      <c r="G1382" s="14" t="s">
        <v>3361</v>
      </c>
      <c r="H1382" s="14">
        <v>1742</v>
      </c>
      <c r="J1382" t="str">
        <f>HYPERLINK("https://jicheng.tw/tcm/book/%e9%86%ab%e5%ae%97%e9%87%91%e9%91%91/%e5%b9%bc%e7%a7%91%e5%bf%83%e6%b3%95%e8%a6%81%e8%a8%a3/index.html")</f>
        <v>https://jicheng.tw/tcm/book/%e9%86%ab%e5%ae%97%e9%87%91%e9%91%91/%e5%b9%bc%e7%a7%91%e5%bf%83%e6%b3%95%e8%a6%81%e8%a8%a3/index.html</v>
      </c>
    </row>
    <row r="1383" spans="1:10">
      <c r="A1383" s="10" t="s">
        <v>1367</v>
      </c>
      <c r="B1383" s="10" t="s">
        <v>2317</v>
      </c>
      <c r="C1383" s="10"/>
      <c r="D1383" t="s">
        <v>1912</v>
      </c>
      <c r="E1383" t="s">
        <v>808</v>
      </c>
      <c r="F1383" t="s">
        <v>3431</v>
      </c>
      <c r="G1383" s="14" t="s">
        <v>3361</v>
      </c>
      <c r="H1383" s="14">
        <v>1742</v>
      </c>
      <c r="J1383" t="str">
        <f>HYPERLINK("https://jicheng.tw/tcm/book/%e9%86%ab%e5%ae%97%e9%87%91%e9%91%91/%e7%97%98%e7%96%b9%e5%bf%83%e6%b3%95%e8%a6%81%e8%a8%a3/index.html")</f>
        <v>https://jicheng.tw/tcm/book/%e9%86%ab%e5%ae%97%e9%87%91%e9%91%91/%e7%97%98%e7%96%b9%e5%bf%83%e6%b3%95%e8%a6%81%e8%a8%a3/index.html</v>
      </c>
    </row>
    <row r="1384" spans="1:10">
      <c r="A1384" s="10" t="s">
        <v>1367</v>
      </c>
      <c r="B1384" s="10" t="s">
        <v>2317</v>
      </c>
      <c r="C1384" s="10"/>
      <c r="D1384" t="s">
        <v>1916</v>
      </c>
      <c r="E1384" t="s">
        <v>815</v>
      </c>
      <c r="F1384" t="s">
        <v>3431</v>
      </c>
      <c r="G1384" s="14" t="s">
        <v>3361</v>
      </c>
      <c r="H1384" s="14">
        <v>1742</v>
      </c>
      <c r="J1384" t="str">
        <f>HYPERLINK("https://jicheng.tw/tcm/book/%e9%86%ab%e5%ae%97%e9%87%91%e9%91%91/%e5%b9%bc%e7%a7%91%e7%a8%ae%e7%97%98%e5%bf%83%e6%b3%95%e8%a6%81%e6%97%a8/index.html")</f>
        <v>https://jicheng.tw/tcm/book/%e9%86%ab%e5%ae%97%e9%87%91%e9%91%91/%e5%b9%bc%e7%a7%91%e7%a8%ae%e7%97%98%e5%bf%83%e6%b3%95%e8%a6%81%e6%97%a8/index.html</v>
      </c>
    </row>
    <row r="1385" spans="1:10">
      <c r="A1385" s="10" t="s">
        <v>1367</v>
      </c>
      <c r="B1385" s="10" t="s">
        <v>2317</v>
      </c>
      <c r="C1385" s="10"/>
      <c r="D1385" t="s">
        <v>1962</v>
      </c>
      <c r="E1385" t="s">
        <v>915</v>
      </c>
      <c r="F1385" t="s">
        <v>3431</v>
      </c>
      <c r="G1385" s="14" t="s">
        <v>3361</v>
      </c>
      <c r="H1385" s="14">
        <v>1742</v>
      </c>
      <c r="J1385" t="str">
        <f>HYPERLINK("https://jicheng.tw/tcm/book/%e9%86%ab%e5%ae%97%e9%87%91%e9%91%91/%e7%9c%bc%e7%a7%91%e5%bf%83%e6%b3%95%e8%a6%81%e8%a8%a3/index.html")</f>
        <v>https://jicheng.tw/tcm/book/%e9%86%ab%e5%ae%97%e9%87%91%e9%91%91/%e7%9c%bc%e7%a7%91%e5%bf%83%e6%b3%95%e8%a6%81%e8%a8%a3/index.html</v>
      </c>
    </row>
    <row r="1386" spans="1:10">
      <c r="A1386" s="10" t="s">
        <v>1367</v>
      </c>
      <c r="B1386" s="10" t="s">
        <v>2317</v>
      </c>
      <c r="C1386" s="10"/>
      <c r="D1386" t="s">
        <v>1666</v>
      </c>
      <c r="E1386" t="s">
        <v>405</v>
      </c>
      <c r="F1386" t="s">
        <v>3431</v>
      </c>
      <c r="G1386" s="14" t="s">
        <v>3361</v>
      </c>
      <c r="H1386" s="14">
        <v>1742</v>
      </c>
      <c r="J1386" t="str">
        <f>HYPERLINK("https://jicheng.tw/tcm/book/%e9%86%ab%e5%ae%97%e9%87%91%e9%91%91/%e5%88%ba%e7%81%b8%e5%bf%83%e6%b3%95%e8%a6%81%e8%a8%a3/index.html")</f>
        <v>https://jicheng.tw/tcm/book/%e9%86%ab%e5%ae%97%e9%87%91%e9%91%91/%e5%88%ba%e7%81%b8%e5%bf%83%e6%b3%95%e8%a6%81%e8%a8%a3/index.html</v>
      </c>
    </row>
    <row r="1387" spans="1:10">
      <c r="A1387" s="10" t="s">
        <v>1367</v>
      </c>
      <c r="B1387" s="10" t="s">
        <v>2317</v>
      </c>
      <c r="C1387" s="10"/>
      <c r="D1387" t="s">
        <v>1955</v>
      </c>
      <c r="E1387" t="s">
        <v>902</v>
      </c>
      <c r="F1387" t="s">
        <v>3431</v>
      </c>
      <c r="G1387" s="14" t="s">
        <v>3361</v>
      </c>
      <c r="H1387" s="14">
        <v>1742</v>
      </c>
      <c r="J1387" t="str">
        <f>HYPERLINK("https://jicheng.tw/tcm/book/%e9%86%ab%e5%ae%97%e9%87%91%e9%91%91/%e6%ad%a3%e9%aa%a8%e5%bf%83%e6%b3%95%e8%a6%81%e6%97%a8/index.html")</f>
        <v>https://jicheng.tw/tcm/book/%e9%86%ab%e5%ae%97%e9%87%91%e9%91%91/%e6%ad%a3%e9%aa%a8%e5%bf%83%e6%b3%95%e8%a6%81%e6%97%a8/index.html</v>
      </c>
    </row>
    <row r="1388" spans="1:10">
      <c r="A1388" s="10" t="s">
        <v>1367</v>
      </c>
      <c r="B1388" s="10" t="s">
        <v>2317</v>
      </c>
      <c r="C1388" s="10"/>
      <c r="D1388" t="s">
        <v>1930</v>
      </c>
      <c r="E1388" t="s">
        <v>842</v>
      </c>
      <c r="F1388" t="s">
        <v>3431</v>
      </c>
      <c r="G1388" s="14" t="s">
        <v>3361</v>
      </c>
      <c r="H1388" s="14">
        <v>1742</v>
      </c>
      <c r="J1388" t="str">
        <f>HYPERLINK("https://jicheng.tw/tcm/book/%e9%86%ab%e5%ae%97%e9%87%91%e9%91%91/%e5%a4%96%e7%a7%91%e5%bf%83%e6%b3%95%e8%a6%81%e8%a8%a3/index.html")</f>
        <v>https://jicheng.tw/tcm/book/%e9%86%ab%e5%ae%97%e9%87%91%e9%91%91/%e5%a4%96%e7%a7%91%e5%bf%83%e6%b3%95%e8%a6%81%e8%a8%a3/index.html</v>
      </c>
    </row>
    <row r="1389" spans="1:10">
      <c r="A1389" s="10" t="s">
        <v>1367</v>
      </c>
      <c r="B1389" s="10" t="s">
        <v>2317</v>
      </c>
      <c r="C1389" s="10"/>
      <c r="D1389" t="s">
        <v>2318</v>
      </c>
      <c r="E1389" t="s">
        <v>1372</v>
      </c>
      <c r="F1389" t="s">
        <v>3431</v>
      </c>
      <c r="G1389" s="14" t="s">
        <v>3361</v>
      </c>
      <c r="H1389" s="14">
        <v>1742</v>
      </c>
      <c r="J1389" t="str">
        <f>HYPERLINK("https://jicheng.tw/tcm/book/%e9%86%ab%e5%ae%97%e9%87%91%e9%91%91%5f%31/index.html")</f>
        <v>https://jicheng.tw/tcm/book/%e9%86%ab%e5%ae%97%e9%87%91%e9%91%91%5f%31/index.html</v>
      </c>
    </row>
    <row r="1390" spans="1:10">
      <c r="A1390" s="10" t="s">
        <v>1367</v>
      </c>
      <c r="B1390" s="10" t="s">
        <v>2317</v>
      </c>
      <c r="C1390" s="10"/>
      <c r="D1390" t="s">
        <v>2319</v>
      </c>
      <c r="E1390" t="s">
        <v>1373</v>
      </c>
      <c r="F1390" t="s">
        <v>3431</v>
      </c>
      <c r="G1390" s="14" t="s">
        <v>3361</v>
      </c>
      <c r="J1390" t="str">
        <f>HYPERLINK("https://jicheng.tw/tcm/book/%e9%86%ab%e5%ae%97%e9%87%91%e9%91%91%5f%32/%e8%a8%82%e6%ad%a3%e4%bb%b2%e6%99%af%e5%85%a8%e6%9b%b8/index.html")</f>
        <v>https://jicheng.tw/tcm/book/%e9%86%ab%e5%ae%97%e9%87%91%e9%91%91%5f%32/%e8%a8%82%e6%ad%a3%e4%bb%b2%e6%99%af%e5%85%a8%e6%9b%b8/index.html</v>
      </c>
    </row>
    <row r="1391" spans="1:10">
      <c r="A1391" s="10" t="s">
        <v>1367</v>
      </c>
      <c r="B1391" s="10" t="s">
        <v>2320</v>
      </c>
      <c r="C1391" s="10"/>
      <c r="D1391" t="s">
        <v>2321</v>
      </c>
      <c r="E1391" t="s">
        <v>1374</v>
      </c>
      <c r="F1391" t="s">
        <v>3431</v>
      </c>
      <c r="G1391" s="14" t="s">
        <v>3361</v>
      </c>
      <c r="H1391" s="14">
        <v>1742</v>
      </c>
      <c r="J1391" t="str">
        <f>HYPERLINK("https://jicheng.tw/tcm/book/%e9%86%ab%e5%ae%97%e9%87%91%e9%91%91%5f%e6%a2%9d%e5%88%97%e7%89%88/%e8%a8%82%e6%ad%a3%e4%bb%b2%e6%99%af%e5%85%a8%e6%9b%b8%e5%82%b7%e5%af%92%e8%ab%96%e8%a8%bb/index.html")</f>
        <v>https://jicheng.tw/tcm/book/%e9%86%ab%e5%ae%97%e9%87%91%e9%91%91%5f%e6%a2%9d%e5%88%97%e7%89%88/%e8%a8%82%e6%ad%a3%e4%bb%b2%e6%99%af%e5%85%a8%e6%9b%b8%e5%82%b7%e5%af%92%e8%ab%96%e8%a8%bb/index.html</v>
      </c>
    </row>
    <row r="1392" spans="1:10">
      <c r="A1392" s="10" t="s">
        <v>1367</v>
      </c>
      <c r="B1392" s="10" t="s">
        <v>2320</v>
      </c>
      <c r="C1392" s="10"/>
      <c r="D1392" t="s">
        <v>2322</v>
      </c>
      <c r="E1392" t="s">
        <v>1375</v>
      </c>
      <c r="F1392" t="s">
        <v>3431</v>
      </c>
      <c r="G1392" s="14" t="s">
        <v>3361</v>
      </c>
      <c r="H1392" s="14">
        <v>1742</v>
      </c>
      <c r="J1392" t="str">
        <f>HYPERLINK("https://jicheng.tw/tcm/book/%e9%86%ab%e5%ae%97%e9%87%91%e9%91%91%5f%e6%a2%9d%e5%88%97%e7%89%88/%e8%a8%82%e6%ad%a3%e4%bb%b2%e6%99%af%e5%85%a8%e6%9b%b8%e9%87%91%e5%8c%b1%e8%a6%81%e7%95%a5%e8%a8%bb/index.html")</f>
        <v>https://jicheng.tw/tcm/book/%e9%86%ab%e5%ae%97%e9%87%91%e9%91%91%5f%e6%a2%9d%e5%88%97%e7%89%88/%e8%a8%82%e6%ad%a3%e4%bb%b2%e6%99%af%e5%85%a8%e6%9b%b8%e9%87%91%e5%8c%b1%e8%a6%81%e7%95%a5%e8%a8%bb/index.html</v>
      </c>
    </row>
    <row r="1393" spans="1:10">
      <c r="A1393" s="10" t="s">
        <v>1367</v>
      </c>
      <c r="B1393" s="10" t="s">
        <v>2320</v>
      </c>
      <c r="C1393" s="10"/>
      <c r="D1393" t="s">
        <v>2323</v>
      </c>
      <c r="E1393" t="s">
        <v>1376</v>
      </c>
      <c r="F1393" t="s">
        <v>3431</v>
      </c>
      <c r="G1393" s="14" t="s">
        <v>3361</v>
      </c>
      <c r="H1393" s="14">
        <v>1742</v>
      </c>
      <c r="J1393" t="str">
        <f>HYPERLINK("https://jicheng.tw/tcm/book/%e9%86%ab%e5%ae%97%e9%87%91%e9%91%91%5f%e6%a2%9d%e5%88%97%e7%89%88/%e5%88%aa%e8%a3%9c%e5%90%8d%e9%86%ab%e6%96%b9%e8%ab%96/index.html")</f>
        <v>https://jicheng.tw/tcm/book/%e9%86%ab%e5%ae%97%e9%87%91%e9%91%91%5f%e6%a2%9d%e5%88%97%e7%89%88/%e5%88%aa%e8%a3%9c%e5%90%8d%e9%86%ab%e6%96%b9%e8%ab%96/index.html</v>
      </c>
    </row>
    <row r="1394" spans="1:10">
      <c r="A1394" s="10" t="s">
        <v>1367</v>
      </c>
      <c r="B1394" s="10" t="s">
        <v>2320</v>
      </c>
      <c r="C1394" s="10"/>
      <c r="D1394" t="s">
        <v>2324</v>
      </c>
      <c r="E1394" t="s">
        <v>1377</v>
      </c>
      <c r="F1394" t="s">
        <v>3431</v>
      </c>
      <c r="G1394" s="14" t="s">
        <v>3361</v>
      </c>
      <c r="H1394" s="14">
        <v>1742</v>
      </c>
      <c r="J1394" t="str">
        <f>HYPERLINK("https://jicheng.tw/tcm/book/%e9%86%ab%e5%ae%97%e9%87%91%e9%91%91%5f%e6%a2%9d%e5%88%97%e7%89%88/%e9%9b%9c%e7%97%85%e5%bf%83%e6%b3%95/index.html")</f>
        <v>https://jicheng.tw/tcm/book/%e9%86%ab%e5%ae%97%e9%87%91%e9%91%91%5f%e6%a2%9d%e5%88%97%e7%89%88/%e9%9b%9c%e7%97%85%e5%bf%83%e6%b3%95/index.html</v>
      </c>
    </row>
    <row r="1395" spans="1:10">
      <c r="A1395" s="10" t="s">
        <v>1367</v>
      </c>
      <c r="B1395" s="10" t="s">
        <v>2320</v>
      </c>
      <c r="C1395" s="10"/>
      <c r="D1395" t="s">
        <v>2325</v>
      </c>
      <c r="E1395" t="s">
        <v>1378</v>
      </c>
      <c r="F1395" t="s">
        <v>3431</v>
      </c>
      <c r="G1395" s="14" t="s">
        <v>3361</v>
      </c>
      <c r="H1395" s="14">
        <v>1742</v>
      </c>
      <c r="J1395" t="str">
        <f>HYPERLINK("https://jicheng.tw/tcm/book/%e9%86%ab%e5%ae%97%e9%87%91%e9%91%91%5f%e6%a2%9d%e5%88%97%e7%89%88/%e5%a9%a6%e7%a7%91%e5%bf%83%e6%b3%95%e8%a6%81%e8%a8%a3/index.html")</f>
        <v>https://jicheng.tw/tcm/book/%e9%86%ab%e5%ae%97%e9%87%91%e9%91%91%5f%e6%a2%9d%e5%88%97%e7%89%88/%e5%a9%a6%e7%a7%91%e5%bf%83%e6%b3%95%e8%a6%81%e8%a8%a3/index.html</v>
      </c>
    </row>
    <row r="1396" spans="1:10">
      <c r="A1396" s="10" t="s">
        <v>1367</v>
      </c>
      <c r="B1396" s="10" t="s">
        <v>2320</v>
      </c>
      <c r="C1396" s="10"/>
      <c r="D1396" t="s">
        <v>2326</v>
      </c>
      <c r="E1396" t="s">
        <v>1379</v>
      </c>
      <c r="F1396" t="s">
        <v>3431</v>
      </c>
      <c r="G1396" s="14" t="s">
        <v>3361</v>
      </c>
      <c r="H1396" s="14">
        <v>1742</v>
      </c>
      <c r="J1396" t="str">
        <f>HYPERLINK("https://jicheng.tw/tcm/book/%e9%86%ab%e5%ae%97%e9%87%91%e9%91%91%5f%e6%a2%9d%e5%88%97%e7%89%88/%e5%b9%bc%e7%a7%91%e9%9b%9c%e7%97%85%e5%bf%83%e6%b3%95/index.html")</f>
        <v>https://jicheng.tw/tcm/book/%e9%86%ab%e5%ae%97%e9%87%91%e9%91%91%5f%e6%a2%9d%e5%88%97%e7%89%88/%e5%b9%bc%e7%a7%91%e9%9b%9c%e7%97%85%e5%bf%83%e6%b3%95/index.html</v>
      </c>
    </row>
    <row r="1397" spans="1:10">
      <c r="A1397" s="10" t="s">
        <v>1367</v>
      </c>
      <c r="B1397" s="10" t="s">
        <v>2320</v>
      </c>
      <c r="C1397" s="10"/>
      <c r="D1397" t="s">
        <v>2327</v>
      </c>
      <c r="E1397" t="s">
        <v>1380</v>
      </c>
      <c r="F1397" t="s">
        <v>3431</v>
      </c>
      <c r="G1397" s="14" t="s">
        <v>3361</v>
      </c>
      <c r="H1397" s="14">
        <v>1742</v>
      </c>
      <c r="J1397" t="str">
        <f>HYPERLINK("https://jicheng.tw/tcm/book/%e9%86%ab%e5%ae%97%e9%87%91%e9%91%91%5f%e6%a2%9d%e5%88%97%e7%89%88/%e7%97%98%e7%96%b9%e5%bf%83%e6%b3%95%e8%a6%81%e8%a8%a3/index.html")</f>
        <v>https://jicheng.tw/tcm/book/%e9%86%ab%e5%ae%97%e9%87%91%e9%91%91%5f%e6%a2%9d%e5%88%97%e7%89%88/%e7%97%98%e7%96%b9%e5%bf%83%e6%b3%95%e8%a6%81%e8%a8%a3/index.html</v>
      </c>
    </row>
    <row r="1398" spans="1:10">
      <c r="A1398" s="10" t="s">
        <v>1367</v>
      </c>
      <c r="B1398" s="10" t="s">
        <v>2320</v>
      </c>
      <c r="C1398" s="10"/>
      <c r="D1398" t="s">
        <v>2328</v>
      </c>
      <c r="E1398" t="s">
        <v>1381</v>
      </c>
      <c r="F1398" t="s">
        <v>3431</v>
      </c>
      <c r="G1398" s="14" t="s">
        <v>3361</v>
      </c>
      <c r="H1398" s="14">
        <v>1742</v>
      </c>
      <c r="J1398" t="str">
        <f>HYPERLINK("https://jicheng.tw/tcm/book/%e9%86%ab%e5%ae%97%e9%87%91%e9%91%91%5f%e6%a2%9d%e5%88%97%e7%89%88/%e7%9c%bc%e7%a7%91%e5%bf%83%e6%b3%95/index.html")</f>
        <v>https://jicheng.tw/tcm/book/%e9%86%ab%e5%ae%97%e9%87%91%e9%91%91%5f%e6%a2%9d%e5%88%97%e7%89%88/%e7%9c%bc%e7%a7%91%e5%bf%83%e6%b3%95/index.html</v>
      </c>
    </row>
    <row r="1399" spans="1:10">
      <c r="A1399" s="10" t="s">
        <v>1367</v>
      </c>
      <c r="B1399" s="10" t="s">
        <v>2320</v>
      </c>
      <c r="C1399" s="10"/>
      <c r="D1399" t="s">
        <v>2329</v>
      </c>
      <c r="E1399" t="s">
        <v>1382</v>
      </c>
      <c r="F1399" t="s">
        <v>3431</v>
      </c>
      <c r="G1399" s="14" t="s">
        <v>3361</v>
      </c>
      <c r="H1399" s="14">
        <v>1742</v>
      </c>
      <c r="J1399" t="str">
        <f>HYPERLINK("https://jicheng.tw/tcm/book/%e9%86%ab%e5%ae%97%e9%87%91%e9%91%91%5f%e6%a2%9d%e5%88%97%e7%89%88/%e5%88%ba%e7%81%b8%e5%bf%83%e6%b3%95%e8%a6%81%e8%a8%a3/index.html")</f>
        <v>https://jicheng.tw/tcm/book/%e9%86%ab%e5%ae%97%e9%87%91%e9%91%91%5f%e6%a2%9d%e5%88%97%e7%89%88/%e5%88%ba%e7%81%b8%e5%bf%83%e6%b3%95%e8%a6%81%e8%a8%a3/index.html</v>
      </c>
    </row>
    <row r="1400" spans="1:10">
      <c r="A1400" s="10" t="s">
        <v>1367</v>
      </c>
      <c r="B1400" s="10" t="s">
        <v>2320</v>
      </c>
      <c r="C1400" s="10"/>
      <c r="D1400" t="s">
        <v>2330</v>
      </c>
      <c r="E1400" t="s">
        <v>1383</v>
      </c>
      <c r="F1400" t="s">
        <v>3431</v>
      </c>
      <c r="G1400" s="14" t="s">
        <v>3361</v>
      </c>
      <c r="H1400" s="14">
        <v>1742</v>
      </c>
      <c r="J1400" t="str">
        <f>HYPERLINK("https://jicheng.tw/tcm/book/%e9%86%ab%e5%ae%97%e9%87%91%e9%91%91%5f%e6%a2%9d%e5%88%97%e7%89%88/%e6%ad%a3%e9%aa%a8%e5%bf%83%e6%b3%95%e8%a6%81%e6%97%a8/index.html")</f>
        <v>https://jicheng.tw/tcm/book/%e9%86%ab%e5%ae%97%e9%87%91%e9%91%91%5f%e6%a2%9d%e5%88%97%e7%89%88/%e6%ad%a3%e9%aa%a8%e5%bf%83%e6%b3%95%e8%a6%81%e6%97%a8/index.html</v>
      </c>
    </row>
    <row r="1401" spans="1:10">
      <c r="A1401" s="10" t="s">
        <v>1367</v>
      </c>
      <c r="B1401" s="10" t="s">
        <v>2331</v>
      </c>
      <c r="C1401" s="10"/>
      <c r="D1401" t="s">
        <v>1851</v>
      </c>
      <c r="E1401" t="s">
        <v>716</v>
      </c>
      <c r="F1401" t="s">
        <v>3432</v>
      </c>
      <c r="G1401" s="14" t="s">
        <v>3361</v>
      </c>
      <c r="H1401" s="14">
        <v>1795</v>
      </c>
      <c r="J1401" t="str">
        <f>HYPERLINK("https://jicheng.tw/tcm/book/%e5%bd%a4%e5%9c%92%e9%86%ab%e6%9b%b8/%e5%a9%a6%e4%ba%ba%e7%a7%91/index.html")</f>
        <v>https://jicheng.tw/tcm/book/%e5%bd%a4%e5%9c%92%e9%86%ab%e6%9b%b8/%e5%a9%a6%e4%ba%ba%e7%a7%91/index.html</v>
      </c>
    </row>
    <row r="1402" spans="1:10">
      <c r="A1402" s="10" t="s">
        <v>1367</v>
      </c>
      <c r="B1402" s="10" t="s">
        <v>2331</v>
      </c>
      <c r="C1402" s="10"/>
      <c r="D1402" t="s">
        <v>1906</v>
      </c>
      <c r="E1402" t="s">
        <v>2372</v>
      </c>
      <c r="F1402" t="s">
        <v>3432</v>
      </c>
      <c r="G1402" s="14" t="s">
        <v>3361</v>
      </c>
      <c r="H1402" s="14">
        <v>1795</v>
      </c>
      <c r="J1402" t="str">
        <f>HYPERLINK("https://jicheng.tw/tcm/book/%e5%bd%a4%e5%9c%92%e9%86%ab%e6%9b%b8/%e5%b0%8f%e5%85%92%e7%a7%91/index.html")</f>
        <v>https://jicheng.tw/tcm/book/%e5%bd%a4%e5%9c%92%e9%86%ab%e6%9b%b8/%e5%b0%8f%e5%85%92%e7%a7%91/index.html</v>
      </c>
    </row>
    <row r="1403" spans="1:10">
      <c r="A1403" s="10" t="s">
        <v>1367</v>
      </c>
      <c r="B1403" s="10" t="s">
        <v>2331</v>
      </c>
      <c r="C1403" s="10"/>
      <c r="D1403" t="s">
        <v>1938</v>
      </c>
      <c r="E1403" t="s">
        <v>863</v>
      </c>
      <c r="F1403" t="s">
        <v>3432</v>
      </c>
      <c r="G1403" s="14" t="s">
        <v>3361</v>
      </c>
      <c r="H1403" s="14">
        <v>1795</v>
      </c>
      <c r="J1403" t="str">
        <f>HYPERLINK("https://jicheng.tw/tcm/book/%e5%bd%a4%e5%9c%92%e9%86%ab%e6%9b%b8/%e5%a4%96%e7%a7%91/index.html")</f>
        <v>https://jicheng.tw/tcm/book/%e5%bd%a4%e5%9c%92%e9%86%ab%e6%9b%b8/%e5%a4%96%e7%a7%91/index.html</v>
      </c>
    </row>
    <row r="1404" spans="1:10">
      <c r="A1404" s="10" t="s">
        <v>1367</v>
      </c>
      <c r="B1404" s="10" t="s">
        <v>2332</v>
      </c>
      <c r="C1404" s="10"/>
      <c r="D1404" t="s">
        <v>1852</v>
      </c>
      <c r="E1404" t="s">
        <v>717</v>
      </c>
      <c r="F1404" t="s">
        <v>3433</v>
      </c>
      <c r="G1404" s="14" t="s">
        <v>3361</v>
      </c>
      <c r="H1404" s="14">
        <v>1804</v>
      </c>
      <c r="J1404" t="str">
        <f>HYPERLINK("https://jicheng.tw/tcm/book/%e9%87%91%e5%8c%b1%e5%95%9f%e9%91%b0/%e5%a9%a6%e7%a7%91/index.html")</f>
        <v>https://jicheng.tw/tcm/book/%e9%87%91%e5%8c%b1%e5%95%9f%e9%91%b0/%e5%a9%a6%e7%a7%91/index.html</v>
      </c>
    </row>
    <row r="1405" spans="1:10">
      <c r="A1405" s="10" t="s">
        <v>1367</v>
      </c>
      <c r="B1405" s="10" t="s">
        <v>2332</v>
      </c>
      <c r="C1405" s="10"/>
      <c r="D1405" t="s">
        <v>1907</v>
      </c>
      <c r="E1405" t="s">
        <v>799</v>
      </c>
      <c r="F1405" t="s">
        <v>3433</v>
      </c>
      <c r="G1405" s="14" t="s">
        <v>3361</v>
      </c>
      <c r="H1405" s="14">
        <v>1804</v>
      </c>
      <c r="J1405" s="4" t="s">
        <v>2373</v>
      </c>
    </row>
    <row r="1406" spans="1:10">
      <c r="A1406" s="10" t="s">
        <v>1367</v>
      </c>
      <c r="B1406" s="10" t="s">
        <v>2332</v>
      </c>
      <c r="C1406" s="10"/>
      <c r="D1406" t="s">
        <v>1963</v>
      </c>
      <c r="E1406" t="s">
        <v>923</v>
      </c>
      <c r="F1406" t="s">
        <v>3433</v>
      </c>
      <c r="G1406" s="14" t="s">
        <v>3361</v>
      </c>
      <c r="H1406" s="14">
        <v>1804</v>
      </c>
      <c r="J1406" s="4" t="s">
        <v>2374</v>
      </c>
    </row>
    <row r="1407" spans="1:10">
      <c r="A1407" s="10" t="s">
        <v>1367</v>
      </c>
      <c r="B1407" s="10" t="s">
        <v>2333</v>
      </c>
      <c r="C1407" s="10"/>
      <c r="D1407" t="s">
        <v>12</v>
      </c>
      <c r="E1407" t="s">
        <v>12</v>
      </c>
      <c r="F1407" t="s">
        <v>3434</v>
      </c>
      <c r="G1407" s="14" t="s">
        <v>3361</v>
      </c>
      <c r="H1407" s="14">
        <v>1806</v>
      </c>
      <c r="J1407" t="str">
        <f>HYPERLINK("https://jicheng.tw/tcm/book/%e7%b4%a0%e5%95%8f%e8%ad%98/index.html")</f>
        <v>https://jicheng.tw/tcm/book/%e7%b4%a0%e5%95%8f%e8%ad%98/index.html</v>
      </c>
    </row>
    <row r="1408" spans="1:10">
      <c r="A1408" s="10" t="s">
        <v>1367</v>
      </c>
      <c r="B1408" s="10" t="s">
        <v>2333</v>
      </c>
      <c r="C1408" s="10"/>
      <c r="D1408" t="s">
        <v>14</v>
      </c>
      <c r="E1408" t="s">
        <v>14</v>
      </c>
      <c r="F1408" t="s">
        <v>3435</v>
      </c>
      <c r="G1408" s="14" t="s">
        <v>3361</v>
      </c>
      <c r="J1408" t="str">
        <f>HYPERLINK("https://jicheng.tw/tcm/book/%e7%b4%a0%e5%95%8f%e7%b4%b9%e8%ad%98/index.html")</f>
        <v>https://jicheng.tw/tcm/book/%e7%b4%a0%e5%95%8f%e7%b4%b9%e8%ad%98/index.html</v>
      </c>
    </row>
    <row r="1409" spans="1:10">
      <c r="A1409" s="10" t="s">
        <v>1367</v>
      </c>
      <c r="B1409" s="10" t="s">
        <v>2333</v>
      </c>
      <c r="C1409" s="10"/>
      <c r="D1409" t="s">
        <v>1445</v>
      </c>
      <c r="E1409" t="s">
        <v>69</v>
      </c>
      <c r="F1409" t="s">
        <v>3357</v>
      </c>
      <c r="G1409" s="14" t="s">
        <v>3361</v>
      </c>
      <c r="J1409" t="str">
        <f>HYPERLINK("https://jicheng.tw/tcm/book/%e9%9b%a3%e7%b6%93%e7%96%8f%e8%ad%89/index.html")</f>
        <v>https://jicheng.tw/tcm/book/%e9%9b%a3%e7%b6%93%e7%96%8f%e8%ad%89/index.html</v>
      </c>
    </row>
    <row r="1410" spans="1:10">
      <c r="A1410" s="10" t="s">
        <v>1367</v>
      </c>
      <c r="B1410" s="10" t="s">
        <v>2333</v>
      </c>
      <c r="C1410" s="10"/>
      <c r="D1410" t="s">
        <v>2306</v>
      </c>
      <c r="E1410" t="s">
        <v>1360</v>
      </c>
      <c r="F1410" t="s">
        <v>3358</v>
      </c>
      <c r="J1410" t="str">
        <f>HYPERLINK("https://jicheng.tw/tcm/book/%e9%86%ab%e4%ba%8b%e5%95%9f%e6%ba%90/index.html")</f>
        <v>https://jicheng.tw/tcm/book/%e9%86%ab%e4%ba%8b%e5%95%9f%e6%ba%90/index.html</v>
      </c>
    </row>
    <row r="1411" spans="1:10">
      <c r="A1411" s="10" t="s">
        <v>1367</v>
      </c>
      <c r="B1411" s="10" t="s">
        <v>2333</v>
      </c>
      <c r="C1411" s="10"/>
      <c r="D1411" t="s">
        <v>1413</v>
      </c>
      <c r="E1411" t="s">
        <v>38</v>
      </c>
      <c r="F1411" t="s">
        <v>3436</v>
      </c>
      <c r="G1411" s="14" t="s">
        <v>3361</v>
      </c>
      <c r="J1411" t="str">
        <f>HYPERLINK("https://jicheng.tw/tcm/book/%e9%86%ab%e5%ae%b6%e5%8d%83%e5%ad%97%e6%96%87/index.html")</f>
        <v>https://jicheng.tw/tcm/book/%e9%86%ab%e5%ae%b6%e5%8d%83%e5%ad%97%e6%96%87/index.html</v>
      </c>
    </row>
    <row r="1412" spans="1:10">
      <c r="A1412" s="10" t="s">
        <v>1367</v>
      </c>
      <c r="B1412" s="10" t="s">
        <v>2333</v>
      </c>
      <c r="C1412" s="10"/>
      <c r="D1412" t="s">
        <v>1812</v>
      </c>
      <c r="E1412" t="s">
        <v>643</v>
      </c>
      <c r="F1412" t="s">
        <v>3437</v>
      </c>
      <c r="G1412" s="14" t="s">
        <v>3361</v>
      </c>
      <c r="H1412" s="14">
        <v>1865</v>
      </c>
      <c r="J1412" t="str">
        <f>HYPERLINK("https://jicheng.tw/tcm/book/%e8%ad%89%e6%b2%bb%e6%91%98%e8%a6%81/index.html")</f>
        <v>https://jicheng.tw/tcm/book/%e8%ad%89%e6%b2%bb%e6%91%98%e8%a6%81/index.html</v>
      </c>
    </row>
    <row r="1413" spans="1:10">
      <c r="A1413" s="10" t="s">
        <v>1367</v>
      </c>
      <c r="B1413" s="10" t="s">
        <v>2333</v>
      </c>
      <c r="C1413" s="10"/>
      <c r="D1413" t="s">
        <v>2308</v>
      </c>
      <c r="E1413" t="s">
        <v>1362</v>
      </c>
      <c r="F1413" t="s">
        <v>3359</v>
      </c>
      <c r="J1413" t="str">
        <f>HYPERLINK("https://jicheng.tw/tcm/book/%e7%9a%87%e5%9c%8b%e5%90%8d%e9%86%ab%e5%82%b3/index.html")</f>
        <v>https://jicheng.tw/tcm/book/%e7%9a%87%e5%9c%8b%e5%90%8d%e9%86%ab%e5%82%b3/index.html</v>
      </c>
    </row>
    <row r="1414" spans="1:10">
      <c r="A1414" s="10" t="s">
        <v>1367</v>
      </c>
      <c r="B1414" s="10" t="s">
        <v>2333</v>
      </c>
      <c r="C1414" s="10"/>
      <c r="D1414" t="s">
        <v>2305</v>
      </c>
      <c r="E1414" t="s">
        <v>1359</v>
      </c>
      <c r="F1414" t="s">
        <v>3357</v>
      </c>
      <c r="H1414" s="14">
        <v>1831</v>
      </c>
      <c r="J1414" t="str">
        <f>HYPERLINK("https://jicheng.tw/tcm/book/%e4%b8%ad%e5%9c%8b%e9%86%ab%e7%b1%8d%e8%80%83/index.html")</f>
        <v>https://jicheng.tw/tcm/book/%e4%b8%ad%e5%9c%8b%e9%86%ab%e7%b1%8d%e8%80%83/index.html</v>
      </c>
    </row>
    <row r="1415" spans="1:10">
      <c r="A1415" s="10" t="s">
        <v>1367</v>
      </c>
      <c r="B1415" s="10" t="s">
        <v>2333</v>
      </c>
      <c r="C1415" s="10"/>
      <c r="D1415" t="s">
        <v>1813</v>
      </c>
      <c r="E1415" t="s">
        <v>644</v>
      </c>
      <c r="F1415" t="s">
        <v>3438</v>
      </c>
      <c r="H1415" s="14">
        <v>1936</v>
      </c>
      <c r="J1415" t="str">
        <f>HYPERLINK("https://jicheng.tw/tcm/book/%e4%b8%ad%e5%9c%8b%e5%85%a7%e7%a7%91%e9%86%ab%e9%91%91/index.html")</f>
        <v>https://jicheng.tw/tcm/book/%e4%b8%ad%e5%9c%8b%e5%85%a7%e7%a7%91%e9%86%ab%e9%91%91/index.html</v>
      </c>
    </row>
    <row r="1416" spans="1:10">
      <c r="A1416" s="10" t="s">
        <v>1367</v>
      </c>
      <c r="B1416" s="10" t="s">
        <v>2333</v>
      </c>
      <c r="C1416" s="10"/>
      <c r="D1416" t="s">
        <v>488</v>
      </c>
      <c r="E1416" t="s">
        <v>488</v>
      </c>
      <c r="F1416" t="s">
        <v>3439</v>
      </c>
      <c r="J1416" t="str">
        <f>HYPERLINK("https://jicheng.tw/tcm/book/%e5%82%b7%e5%af%92%e4%b9%8b%e7%a0%94%e7%a9%b6/index.html")</f>
        <v>https://jicheng.tw/tcm/book/%e5%82%b7%e5%af%92%e4%b9%8b%e7%a0%94%e7%a9%b6/index.html</v>
      </c>
    </row>
    <row r="1417" spans="1:10">
      <c r="A1417" s="10" t="s">
        <v>1367</v>
      </c>
      <c r="B1417" s="10" t="s">
        <v>2333</v>
      </c>
      <c r="C1417" s="10"/>
      <c r="D1417" t="s">
        <v>514</v>
      </c>
      <c r="E1417" t="s">
        <v>514</v>
      </c>
      <c r="F1417" t="s">
        <v>3440</v>
      </c>
      <c r="J1417" t="str">
        <f>HYPERLINK("https://jicheng.tw/tcm/book/%e5%82%b7%e5%af%92%e8%ab%96%e7%b6%b1%e8%a6%81/index.html")</f>
        <v>https://jicheng.tw/tcm/book/%e5%82%b7%e5%af%92%e8%ab%96%e7%b6%b1%e8%a6%81/index.html</v>
      </c>
    </row>
    <row r="1418" spans="1:10">
      <c r="A1418" s="10" t="s">
        <v>1367</v>
      </c>
      <c r="B1418" s="10" t="s">
        <v>2333</v>
      </c>
      <c r="C1418" s="10"/>
      <c r="D1418" t="s">
        <v>1721</v>
      </c>
      <c r="E1418" t="s">
        <v>513</v>
      </c>
      <c r="F1418" t="s">
        <v>3435</v>
      </c>
      <c r="G1418" s="14" t="s">
        <v>3361</v>
      </c>
      <c r="J1418" t="str">
        <f>HYPERLINK("https://jicheng.tw/tcm/book/%e5%82%b7%e5%af%92%e5%bb%a3%e8%a6%81/index.html")</f>
        <v>https://jicheng.tw/tcm/book/%e5%82%b7%e5%af%92%e5%bb%a3%e8%a6%81/index.html</v>
      </c>
    </row>
    <row r="1419" spans="1:10">
      <c r="A1419" s="10" t="s">
        <v>1367</v>
      </c>
      <c r="B1419" s="10" t="s">
        <v>2333</v>
      </c>
      <c r="C1419" s="10"/>
      <c r="D1419" t="s">
        <v>474</v>
      </c>
      <c r="E1419" t="s">
        <v>474</v>
      </c>
      <c r="F1419" t="s">
        <v>3434</v>
      </c>
      <c r="J1419" t="str">
        <f>HYPERLINK("https://jicheng.tw/tcm/book/%e5%82%b7%e5%af%92%e8%ab%96%e8%bc%af%e7%be%a9/index.html")</f>
        <v>https://jicheng.tw/tcm/book/%e5%82%b7%e5%af%92%e8%ab%96%e8%bc%af%e7%be%a9/index.html</v>
      </c>
    </row>
    <row r="1420" spans="1:10">
      <c r="A1420" s="10" t="s">
        <v>1367</v>
      </c>
      <c r="B1420" s="10" t="s">
        <v>2333</v>
      </c>
      <c r="C1420" s="10"/>
      <c r="D1420" t="s">
        <v>515</v>
      </c>
      <c r="E1420" t="s">
        <v>515</v>
      </c>
      <c r="F1420" t="s">
        <v>3435</v>
      </c>
      <c r="G1420" s="14" t="s">
        <v>3361</v>
      </c>
      <c r="H1420" s="14">
        <v>1827</v>
      </c>
      <c r="J1420" t="str">
        <f>HYPERLINK("https://jicheng.tw/tcm/book/%e5%82%b7%e5%af%92%e8%ab%96%e8%bf%b0%e7%be%a9/index.html")</f>
        <v>https://jicheng.tw/tcm/book/%e5%82%b7%e5%af%92%e8%ab%96%e8%bf%b0%e7%be%a9/index.html</v>
      </c>
    </row>
    <row r="1421" spans="1:10">
      <c r="A1421" s="10" t="s">
        <v>1367</v>
      </c>
      <c r="B1421" s="10" t="s">
        <v>2333</v>
      </c>
      <c r="C1421" s="10"/>
      <c r="D1421" t="s">
        <v>483</v>
      </c>
      <c r="E1421" t="s">
        <v>483</v>
      </c>
      <c r="F1421" t="s">
        <v>3441</v>
      </c>
      <c r="G1421" s="14" t="s">
        <v>3361</v>
      </c>
      <c r="H1421" s="14">
        <v>1789</v>
      </c>
      <c r="J1421" t="str">
        <f>HYPERLINK("https://jicheng.tw/tcm/book/%e5%82%b7%e5%af%92%e8%ab%96%e9%9b%86%e6%88%90/index.html")</f>
        <v>https://jicheng.tw/tcm/book/%e5%82%b7%e5%af%92%e8%ab%96%e9%9b%86%e6%88%90/index.html</v>
      </c>
    </row>
    <row r="1422" spans="1:10">
      <c r="A1422" s="10" t="s">
        <v>1367</v>
      </c>
      <c r="B1422" s="10" t="s">
        <v>2333</v>
      </c>
      <c r="C1422" s="10"/>
      <c r="D1422" t="s">
        <v>1733</v>
      </c>
      <c r="E1422" t="s">
        <v>532</v>
      </c>
      <c r="F1422" t="s">
        <v>3442</v>
      </c>
      <c r="J1422" t="str">
        <f>HYPERLINK("https://jicheng.tw/tcm/book/%e5%82%b7%e5%af%92%e7%94%a8%e8%97%a5%e7%a0%94%e7%a9%b6/index.html")</f>
        <v>https://jicheng.tw/tcm/book/%e5%82%b7%e5%af%92%e7%94%a8%e8%97%a5%e7%a0%94%e7%a9%b6/index.html</v>
      </c>
    </row>
    <row r="1423" spans="1:10">
      <c r="A1423" s="10" t="s">
        <v>1367</v>
      </c>
      <c r="B1423" s="10" t="s">
        <v>2333</v>
      </c>
      <c r="C1423" s="10"/>
      <c r="D1423" t="s">
        <v>1735</v>
      </c>
      <c r="E1423" t="s">
        <v>536</v>
      </c>
      <c r="F1423" t="s">
        <v>3442</v>
      </c>
      <c r="J1423" t="str">
        <f>HYPERLINK("https://jicheng.tw/tcm/book/%e5%82%b7%e5%af%92%e8%84%88%e8%ad%89%e5%bc%8f/index.html")</f>
        <v>https://jicheng.tw/tcm/book/%e5%82%b7%e5%af%92%e8%84%88%e8%ad%89%e5%bc%8f/index.html</v>
      </c>
    </row>
    <row r="1424" spans="1:10">
      <c r="A1424" s="10" t="s">
        <v>1367</v>
      </c>
      <c r="B1424" s="10" t="s">
        <v>2333</v>
      </c>
      <c r="C1424" s="10"/>
      <c r="D1424" t="s">
        <v>549</v>
      </c>
      <c r="E1424" t="s">
        <v>549</v>
      </c>
      <c r="F1424" t="s">
        <v>3435</v>
      </c>
      <c r="G1424" s="14" t="s">
        <v>3361</v>
      </c>
      <c r="H1424" s="14">
        <v>1842</v>
      </c>
      <c r="J1424" t="str">
        <f>HYPERLINK("https://jicheng.tw/tcm/book/%e9%87%91%e5%8c%b1%e7%8e%89%e5%87%bd%e8%a6%81%e7%95%a5%e8%bf%b0%e7%be%a9/index.html")</f>
        <v>https://jicheng.tw/tcm/book/%e9%87%91%e5%8c%b1%e7%8e%89%e5%87%bd%e8%a6%81%e7%95%a5%e8%bf%b0%e7%be%a9/index.html</v>
      </c>
    </row>
    <row r="1425" spans="1:10">
      <c r="A1425" s="10" t="s">
        <v>1367</v>
      </c>
      <c r="B1425" s="10" t="s">
        <v>2333</v>
      </c>
      <c r="C1425" s="10"/>
      <c r="D1425" t="s">
        <v>546</v>
      </c>
      <c r="E1425" t="s">
        <v>546</v>
      </c>
      <c r="F1425" t="s">
        <v>3434</v>
      </c>
      <c r="G1425" s="14" t="s">
        <v>3361</v>
      </c>
      <c r="H1425" s="14">
        <v>1806</v>
      </c>
      <c r="J1425" t="str">
        <f>HYPERLINK("https://jicheng.tw/tcm/book/%e9%87%91%e5%8c%b1%e7%8e%89%e5%87%bd%e8%a6%81%e7%95%a5%e8%bc%af%e7%be%a9/index.html")</f>
        <v>https://jicheng.tw/tcm/book/%e9%87%91%e5%8c%b1%e7%8e%89%e5%87%bd%e8%a6%81%e7%95%a5%e8%bc%af%e7%be%a9/index.html</v>
      </c>
    </row>
    <row r="1426" spans="1:10">
      <c r="A1426" s="10" t="s">
        <v>1367</v>
      </c>
      <c r="B1426" s="10" t="s">
        <v>2333</v>
      </c>
      <c r="C1426" s="10"/>
      <c r="D1426" t="s">
        <v>2273</v>
      </c>
      <c r="E1426" t="s">
        <v>1323</v>
      </c>
      <c r="F1426" t="s">
        <v>3356</v>
      </c>
      <c r="G1426" s="14" t="s">
        <v>3361</v>
      </c>
      <c r="J1426" t="str">
        <f>HYPERLINK("https://jicheng.tw/tcm/book/%e9%95%b7%e6%b2%99%e8%ad%89%e5%bd%99/index.html")</f>
        <v>https://jicheng.tw/tcm/book/%e9%95%b7%e6%b2%99%e8%ad%89%e5%bd%99/index.html</v>
      </c>
    </row>
    <row r="1427" spans="1:10">
      <c r="A1427" s="10" t="s">
        <v>1367</v>
      </c>
      <c r="B1427" s="10" t="s">
        <v>2333</v>
      </c>
      <c r="C1427" s="10"/>
      <c r="D1427" t="s">
        <v>537</v>
      </c>
      <c r="E1427" t="s">
        <v>537</v>
      </c>
      <c r="F1427" t="s">
        <v>3443</v>
      </c>
      <c r="G1427" s="14" t="s">
        <v>3361</v>
      </c>
      <c r="H1427" s="14">
        <v>1795</v>
      </c>
      <c r="J1427" t="str">
        <f>HYPERLINK("https://jicheng.tw/tcm/book/%e5%82%b7%e9%a2%a8%e7%b4%84%e8%a8%80/index.html")</f>
        <v>https://jicheng.tw/tcm/book/%e5%82%b7%e9%a2%a8%e7%b4%84%e8%a8%80/index.html</v>
      </c>
    </row>
    <row r="1428" spans="1:10">
      <c r="A1428" s="10" t="s">
        <v>1367</v>
      </c>
      <c r="B1428" s="10" t="s">
        <v>2333</v>
      </c>
      <c r="C1428" s="10"/>
      <c r="D1428" t="s">
        <v>1775</v>
      </c>
      <c r="E1428" t="s">
        <v>589</v>
      </c>
      <c r="F1428" t="s">
        <v>3444</v>
      </c>
      <c r="J1428" t="str">
        <f>HYPERLINK("https://jicheng.tw/tcm/book/%e6%ba%ab%e7%97%85%e4%b9%8b%e7%a0%94%e7%a9%b6/index.html")</f>
        <v>https://jicheng.tw/tcm/book/%e6%ba%ab%e7%97%85%e4%b9%8b%e7%a0%94%e7%a9%b6/index.html</v>
      </c>
    </row>
    <row r="1429" spans="1:10">
      <c r="A1429" s="10" t="s">
        <v>1367</v>
      </c>
      <c r="B1429" s="10" t="s">
        <v>2333</v>
      </c>
      <c r="C1429" s="10"/>
      <c r="D1429" t="s">
        <v>1771</v>
      </c>
      <c r="E1429" t="s">
        <v>585</v>
      </c>
      <c r="F1429" t="s">
        <v>3445</v>
      </c>
      <c r="J1429" t="str">
        <f>HYPERLINK("https://jicheng.tw/tcm/book/%e6%ba%ab%e7%96%ab%e8%ab%96%e7%a7%81%e8%a9%95/index.html")</f>
        <v>https://jicheng.tw/tcm/book/%e6%ba%ab%e7%96%ab%e8%ab%96%e7%a7%81%e8%a9%95/index.html</v>
      </c>
    </row>
    <row r="1430" spans="1:10">
      <c r="A1430" s="10" t="s">
        <v>1367</v>
      </c>
      <c r="B1430" s="10" t="s">
        <v>2333</v>
      </c>
      <c r="C1430" s="10"/>
      <c r="D1430" t="s">
        <v>609</v>
      </c>
      <c r="E1430" t="s">
        <v>609</v>
      </c>
      <c r="F1430" t="s">
        <v>3446</v>
      </c>
      <c r="J1430" t="str">
        <f>HYPERLINK("https://jicheng.tw/tcm/book/%e7%80%89%e7%96%ab%e6%96%b0%e8%ab%96/index.html")</f>
        <v>https://jicheng.tw/tcm/book/%e7%80%89%e7%96%ab%e6%96%b0%e8%ab%96/index.html</v>
      </c>
    </row>
    <row r="1431" spans="1:10">
      <c r="A1431" s="10" t="s">
        <v>1367</v>
      </c>
      <c r="B1431" s="10" t="s">
        <v>2333</v>
      </c>
      <c r="C1431" s="10"/>
      <c r="D1431" t="s">
        <v>1835</v>
      </c>
      <c r="E1431" s="2" t="s">
        <v>672</v>
      </c>
      <c r="F1431" t="s">
        <v>3447</v>
      </c>
      <c r="I1431" s="2"/>
      <c r="J1431" s="2" t="str">
        <f>HYPERLINK("https://jicheng.tw/tcm/book/%e8%85%b3%e6%b0%a3%e9%89%a4%e8%a6%81/index.html")</f>
        <v>https://jicheng.tw/tcm/book/%e8%85%b3%e6%b0%a3%e9%89%a4%e8%a6%81/index.html</v>
      </c>
    </row>
    <row r="1432" spans="1:10">
      <c r="A1432" s="10" t="s">
        <v>1367</v>
      </c>
      <c r="B1432" s="10" t="s">
        <v>2333</v>
      </c>
      <c r="C1432" s="10"/>
      <c r="D1432" t="s">
        <v>1834</v>
      </c>
      <c r="E1432" s="2" t="s">
        <v>671</v>
      </c>
      <c r="F1432" t="s">
        <v>3448</v>
      </c>
      <c r="I1432" s="2"/>
      <c r="J1432" s="2" t="str">
        <f>HYPERLINK("https://jicheng.tw/tcm/book/%e8%85%b3%e6%b0%a3%e6%a6%82%e8%ab%96/index.html")</f>
        <v>https://jicheng.tw/tcm/book/%e8%85%b3%e6%b0%a3%e6%a6%82%e8%ab%96/index.html</v>
      </c>
    </row>
    <row r="1433" spans="1:10">
      <c r="A1433" s="10" t="s">
        <v>1367</v>
      </c>
      <c r="B1433" s="10" t="s">
        <v>2333</v>
      </c>
      <c r="C1433" s="10"/>
      <c r="D1433" t="s">
        <v>1948</v>
      </c>
      <c r="E1433" t="s">
        <v>885</v>
      </c>
      <c r="F1433" t="s">
        <v>3449</v>
      </c>
      <c r="J1433" t="str">
        <f>HYPERLINK("https://jicheng.tw/tcm/book/%e7%96%9d%e6%b0%a3%e8%ad%89%e6%b2%bb%e8%ab%96/index.html")</f>
        <v>https://jicheng.tw/tcm/book/%e7%96%9d%e6%b0%a3%e8%ad%89%e6%b2%bb%e8%ab%96/index.html</v>
      </c>
    </row>
    <row r="1434" spans="1:10">
      <c r="A1434" s="10" t="s">
        <v>1367</v>
      </c>
      <c r="B1434" s="10" t="s">
        <v>2333</v>
      </c>
      <c r="C1434" s="10"/>
      <c r="D1434" t="s">
        <v>1957</v>
      </c>
      <c r="E1434" t="s">
        <v>906</v>
      </c>
      <c r="F1434" t="s">
        <v>3450</v>
      </c>
      <c r="G1434" s="14" t="s">
        <v>3361</v>
      </c>
      <c r="H1434" s="14">
        <v>1808</v>
      </c>
      <c r="J1434" t="str">
        <f>HYPERLINK("https://jicheng.tw/tcm/book/%e4%b8%ad%e5%9c%8b%e6%8e%a5%e9%aa%a8%e5%9c%96%e8%aa%aa/index.html")</f>
        <v>https://jicheng.tw/tcm/book/%e4%b8%ad%e5%9c%8b%e6%8e%a5%e9%aa%a8%e5%9c%96%e8%aa%aa/index.html</v>
      </c>
    </row>
    <row r="1435" spans="1:10">
      <c r="A1435" s="10" t="s">
        <v>1367</v>
      </c>
      <c r="B1435" s="10" t="s">
        <v>2333</v>
      </c>
      <c r="C1435" s="10"/>
      <c r="D1435" t="s">
        <v>1874</v>
      </c>
      <c r="E1435" s="2" t="s">
        <v>746</v>
      </c>
      <c r="F1435" t="s">
        <v>3451</v>
      </c>
      <c r="G1435" s="14" t="s">
        <v>3361</v>
      </c>
      <c r="I1435" s="2"/>
      <c r="J1435" s="2" t="str">
        <f>HYPERLINK("https://jicheng.tw/tcm/book/%e7%94%a2%e7%a7%91%e7%99%bc%e8%92%99/index.html")</f>
        <v>https://jicheng.tw/tcm/book/%e7%94%a2%e7%a7%91%e7%99%bc%e8%92%99/index.html</v>
      </c>
    </row>
    <row r="1436" spans="1:10">
      <c r="A1436" s="10" t="s">
        <v>1367</v>
      </c>
      <c r="B1436" s="10" t="s">
        <v>2333</v>
      </c>
      <c r="C1436" s="10"/>
      <c r="D1436" t="s">
        <v>1871</v>
      </c>
      <c r="E1436" s="2" t="s">
        <v>743</v>
      </c>
      <c r="F1436" t="s">
        <v>3452</v>
      </c>
      <c r="I1436" s="2"/>
      <c r="J1436" s="2" t="str">
        <f>HYPERLINK("https://jicheng.tw/tcm/book/%e7%94%a2%e8%ab%96/index.html")</f>
        <v>https://jicheng.tw/tcm/book/%e7%94%a2%e8%ab%96/index.html</v>
      </c>
    </row>
    <row r="1437" spans="1:10">
      <c r="A1437" s="10" t="s">
        <v>1367</v>
      </c>
      <c r="B1437" s="10" t="s">
        <v>2333</v>
      </c>
      <c r="C1437" s="10"/>
      <c r="D1437" t="s">
        <v>1875</v>
      </c>
      <c r="E1437" s="2" t="s">
        <v>747</v>
      </c>
      <c r="F1437" t="s">
        <v>3452</v>
      </c>
      <c r="I1437" s="2"/>
      <c r="J1437" s="2" t="str">
        <f>HYPERLINK("https://jicheng.tw/tcm/book/%e7%94%a2%e8%ab%96%e7%bf%bc/index.html")</f>
        <v>https://jicheng.tw/tcm/book/%e7%94%a2%e8%ab%96%e7%bf%bc/index.html</v>
      </c>
    </row>
    <row r="1438" spans="1:10">
      <c r="A1438" s="10" t="s">
        <v>1367</v>
      </c>
      <c r="B1438" s="10" t="s">
        <v>2333</v>
      </c>
      <c r="C1438" s="10"/>
      <c r="D1438" t="s">
        <v>1909</v>
      </c>
      <c r="E1438" t="s">
        <v>802</v>
      </c>
      <c r="F1438" t="s">
        <v>3438</v>
      </c>
      <c r="H1438" s="14">
        <v>1936</v>
      </c>
      <c r="J1438" t="str">
        <f>HYPERLINK("https://jicheng.tw/tcm/book/%e4%b8%ad%e5%9c%8b%e5%85%92%e7%a7%91%e9%86%ab%e9%91%91/index.html")</f>
        <v>https://jicheng.tw/tcm/book/%e4%b8%ad%e5%9c%8b%e5%85%92%e7%a7%91%e9%86%ab%e9%91%91/index.html</v>
      </c>
    </row>
    <row r="1439" spans="1:10">
      <c r="A1439" s="10" t="s">
        <v>1367</v>
      </c>
      <c r="B1439" s="10" t="s">
        <v>2333</v>
      </c>
      <c r="C1439" s="10"/>
      <c r="D1439" t="s">
        <v>1908</v>
      </c>
      <c r="E1439" t="s">
        <v>801</v>
      </c>
      <c r="F1439" t="s">
        <v>3453</v>
      </c>
      <c r="J1439" t="str">
        <f>HYPERLINK("https://jicheng.tw/tcm/book/%e5%b9%bc%e7%a7%91%e8%ad%89%e6%b2%bb%e5%a4%a7%e5%85%a8/index.html")</f>
        <v>https://jicheng.tw/tcm/book/%e5%b9%bc%e7%a7%91%e8%ad%89%e6%b2%bb%e5%a4%a7%e5%85%a8/index.html</v>
      </c>
    </row>
    <row r="1440" spans="1:10">
      <c r="A1440" s="10" t="s">
        <v>1367</v>
      </c>
      <c r="B1440" s="10" t="s">
        <v>2333</v>
      </c>
      <c r="C1440" s="10"/>
      <c r="D1440" t="s">
        <v>1786</v>
      </c>
      <c r="E1440" t="s">
        <v>610</v>
      </c>
      <c r="F1440" t="s">
        <v>3454</v>
      </c>
      <c r="J1440" t="str">
        <f>HYPERLINK("https://jicheng.tw/tcm/book/%e7%97%98%e7%a7%91%e8%be%a8%e8%a6%81/index.html")</f>
        <v>https://jicheng.tw/tcm/book/%e7%97%98%e7%a7%91%e8%be%a8%e8%a6%81/index.html</v>
      </c>
    </row>
    <row r="1441" spans="1:10">
      <c r="A1441" s="10" t="s">
        <v>1367</v>
      </c>
      <c r="B1441" s="10" t="s">
        <v>2333</v>
      </c>
      <c r="C1441" s="10"/>
      <c r="D1441" t="s">
        <v>913</v>
      </c>
      <c r="E1441" t="s">
        <v>913</v>
      </c>
      <c r="F1441" t="s">
        <v>3455</v>
      </c>
      <c r="J1441" t="str">
        <f>HYPERLINK("https://jicheng.tw/tcm/book/%e7%9c%bc%e7%a7%91%e9%8c%a6%e5%9b%8a/index.html")</f>
        <v>https://jicheng.tw/tcm/book/%e7%9c%bc%e7%a7%91%e9%8c%a6%e5%9b%8a/index.html</v>
      </c>
    </row>
    <row r="1442" spans="1:10">
      <c r="A1442" s="10" t="s">
        <v>1367</v>
      </c>
      <c r="B1442" s="10" t="s">
        <v>2333</v>
      </c>
      <c r="C1442" s="10"/>
      <c r="D1442" t="s">
        <v>884</v>
      </c>
      <c r="E1442" t="s">
        <v>884</v>
      </c>
      <c r="F1442" t="s">
        <v>3451</v>
      </c>
      <c r="G1442" s="14" t="s">
        <v>3361</v>
      </c>
      <c r="J1442" t="str">
        <f>HYPERLINK("https://jicheng.tw/tcm/book/%e9%bb%b4%e7%99%98%e6%96%b0%e6%9b%b8/index.html")</f>
        <v>https://jicheng.tw/tcm/book/%e9%bb%b4%e7%99%98%e6%96%b0%e6%9b%b8/index.html</v>
      </c>
    </row>
    <row r="1443" spans="1:10">
      <c r="A1443" s="10" t="s">
        <v>1367</v>
      </c>
      <c r="B1443" s="10" t="s">
        <v>2333</v>
      </c>
      <c r="C1443" s="10"/>
      <c r="D1443" t="s">
        <v>1693</v>
      </c>
      <c r="E1443" t="s">
        <v>436</v>
      </c>
      <c r="F1443" t="s">
        <v>3456</v>
      </c>
      <c r="G1443" s="14" t="s">
        <v>3361</v>
      </c>
      <c r="H1443" s="14">
        <v>1810</v>
      </c>
      <c r="J1443" t="str">
        <f>HYPERLINK("https://jicheng.tw/tcm/book/%e7%b6%93%e7%a9%b4%e7%ba%82%e8%a6%81/index.html")</f>
        <v>https://jicheng.tw/tcm/book/%e7%b6%93%e7%a9%b4%e7%ba%82%e8%a6%81/index.html</v>
      </c>
    </row>
    <row r="1444" spans="1:10">
      <c r="A1444" s="10" t="s">
        <v>1367</v>
      </c>
      <c r="B1444" s="10" t="s">
        <v>2333</v>
      </c>
      <c r="C1444" s="10"/>
      <c r="D1444" t="s">
        <v>1692</v>
      </c>
      <c r="E1444" t="s">
        <v>435</v>
      </c>
      <c r="F1444" t="s">
        <v>3457</v>
      </c>
      <c r="J1444" t="str">
        <f>HYPERLINK("https://jicheng.tw/tcm/book/%e9%87%9d%e5%ad%b8%e9%80%9a%e8%ab%96/index.html")</f>
        <v>https://jicheng.tw/tcm/book/%e9%87%9d%e5%ad%b8%e9%80%9a%e8%ab%96/index.html</v>
      </c>
    </row>
    <row r="1445" spans="1:10">
      <c r="A1445" s="10" t="s">
        <v>1367</v>
      </c>
      <c r="B1445" s="10" t="s">
        <v>2333</v>
      </c>
      <c r="C1445" s="10"/>
      <c r="D1445" s="7" t="s">
        <v>2377</v>
      </c>
      <c r="E1445" t="s">
        <v>433</v>
      </c>
      <c r="F1445" t="s">
        <v>3458</v>
      </c>
      <c r="J1445" t="str">
        <f>HYPERLINK("https://jicheng.tw/tcm/book/%e9%87%9d%e7%81%b8%e5%ad%b8%e7%b6%b1%e8%a6%81/index.html")</f>
        <v>https://jicheng.tw/tcm/book/%e9%87%9d%e7%81%b8%e5%ad%b8%e7%b6%b1%e8%a6%81/index.html</v>
      </c>
    </row>
    <row r="1446" spans="1:10">
      <c r="A1446" s="10" t="s">
        <v>1367</v>
      </c>
      <c r="B1446" s="10" t="s">
        <v>2333</v>
      </c>
      <c r="C1446" s="10"/>
      <c r="D1446" t="s">
        <v>445</v>
      </c>
      <c r="E1446" t="s">
        <v>445</v>
      </c>
      <c r="F1446" t="s">
        <v>3459</v>
      </c>
      <c r="J1446" t="str">
        <f>HYPERLINK("https://jicheng.tw/tcm/book/%e9%81%b8%e9%87%9d%e4%b8%89%e8%a6%81%e9%9b%86/index.html")</f>
        <v>https://jicheng.tw/tcm/book/%e9%81%b8%e9%87%9d%e4%b8%89%e8%a6%81%e9%9b%86/index.html</v>
      </c>
    </row>
    <row r="1447" spans="1:10">
      <c r="A1447" s="10" t="s">
        <v>1367</v>
      </c>
      <c r="B1447" s="10" t="s">
        <v>2333</v>
      </c>
      <c r="C1447" s="10"/>
      <c r="D1447" t="s">
        <v>1607</v>
      </c>
      <c r="E1447" t="s">
        <v>331</v>
      </c>
      <c r="F1447" t="s">
        <v>3435</v>
      </c>
      <c r="G1447" s="14" t="s">
        <v>3361</v>
      </c>
      <c r="J1447" t="str">
        <f>HYPERLINK("https://jicheng.tw/tcm/book/%e8%97%a5%e6%b2%bb%e9%80%9a%e7%be%a9/index.html")</f>
        <v>https://jicheng.tw/tcm/book/%e8%97%a5%e6%b2%bb%e9%80%9a%e7%be%a9/index.html</v>
      </c>
    </row>
    <row r="1448" spans="1:10">
      <c r="A1448" s="10" t="s">
        <v>1367</v>
      </c>
      <c r="B1448" s="10" t="s">
        <v>2333</v>
      </c>
      <c r="C1448" s="10"/>
      <c r="D1448" t="s">
        <v>1470</v>
      </c>
      <c r="E1448" t="s">
        <v>114</v>
      </c>
      <c r="F1448" t="s">
        <v>3434</v>
      </c>
      <c r="J1448" t="str">
        <f>HYPERLINK("https://jicheng.tw/tcm/book/%e8%84%88%e5%ad%b8%e8%bc%af%e8%a6%81/index.html")</f>
        <v>https://jicheng.tw/tcm/book/%e8%84%88%e5%ad%b8%e8%bc%af%e8%a6%81/index.html</v>
      </c>
    </row>
    <row r="1449" spans="1:10">
      <c r="A1449" s="10" t="s">
        <v>1367</v>
      </c>
      <c r="B1449" s="10" t="s">
        <v>2333</v>
      </c>
      <c r="C1449" s="10"/>
      <c r="D1449" t="s">
        <v>1608</v>
      </c>
      <c r="E1449" t="s">
        <v>332</v>
      </c>
      <c r="F1449" t="s">
        <v>3460</v>
      </c>
      <c r="G1449" s="14" t="s">
        <v>3361</v>
      </c>
      <c r="H1449" s="14">
        <v>1811</v>
      </c>
      <c r="J1449" t="str">
        <f>HYPERLINK("https://jicheng.tw/tcm/book/%e6%96%b9%e5%8a%91%e8%be%ad%e5%85%b8/index.html")</f>
        <v>https://jicheng.tw/tcm/book/%e6%96%b9%e5%8a%91%e8%be%ad%e5%85%b8/index.html</v>
      </c>
    </row>
    <row r="1450" spans="1:10">
      <c r="A1450" s="10" t="s">
        <v>1367</v>
      </c>
      <c r="B1450" s="10" t="s">
        <v>2333</v>
      </c>
      <c r="C1450" s="10"/>
      <c r="D1450" t="s">
        <v>333</v>
      </c>
      <c r="E1450" t="s">
        <v>333</v>
      </c>
      <c r="F1450" t="s">
        <v>3461</v>
      </c>
      <c r="J1450" t="str">
        <f>HYPERLINK("https://jicheng.tw/tcm/book/%e5%a5%87%e6%ad%a3%e6%96%b9/index.html")</f>
        <v>https://jicheng.tw/tcm/book/%e5%a5%87%e6%ad%a3%e6%96%b9/index.html</v>
      </c>
    </row>
    <row r="1451" spans="1:10">
      <c r="A1451" s="10" t="s">
        <v>1367</v>
      </c>
      <c r="B1451" s="10" t="s">
        <v>2333</v>
      </c>
      <c r="C1451" s="10"/>
      <c r="D1451" t="s">
        <v>382</v>
      </c>
      <c r="E1451" t="s">
        <v>382</v>
      </c>
      <c r="F1451" t="s">
        <v>3462</v>
      </c>
      <c r="J1451" t="str">
        <f>HYPERLINK("https://jicheng.tw/tcm/book/%e4%b8%b9%e6%96%b9%e4%b9%8b%e7%a0%94%e7%a9%b6/index.html")</f>
        <v>https://jicheng.tw/tcm/book/%e4%b8%b9%e6%96%b9%e4%b9%8b%e7%a0%94%e7%a9%b6/index.html</v>
      </c>
    </row>
    <row r="1452" spans="1:10">
      <c r="A1452" s="10" t="s">
        <v>1367</v>
      </c>
      <c r="B1452" s="10" t="s">
        <v>2333</v>
      </c>
      <c r="C1452" s="10"/>
      <c r="D1452" t="s">
        <v>334</v>
      </c>
      <c r="E1452" t="s">
        <v>334</v>
      </c>
      <c r="F1452" t="s">
        <v>3463</v>
      </c>
      <c r="G1452" s="14" t="s">
        <v>3361</v>
      </c>
      <c r="J1452" t="str">
        <f>HYPERLINK("https://jicheng.tw/tcm/book/%e9%a1%9e%e8%81%9a%e6%96%b9/index.html")</f>
        <v>https://jicheng.tw/tcm/book/%e9%a1%9e%e8%81%9a%e6%96%b9/index.html</v>
      </c>
    </row>
    <row r="1453" spans="1:10">
      <c r="A1453" s="10" t="s">
        <v>1367</v>
      </c>
      <c r="B1453" s="10" t="s">
        <v>2333</v>
      </c>
      <c r="C1453" s="10"/>
      <c r="D1453" t="s">
        <v>335</v>
      </c>
      <c r="E1453" t="s">
        <v>335</v>
      </c>
      <c r="F1453" t="s">
        <v>3464</v>
      </c>
      <c r="G1453" s="14" t="s">
        <v>3361</v>
      </c>
      <c r="J1453" t="str">
        <f>HYPERLINK("https://jicheng.tw/tcm/book/%e6%96%b9%e6%a9%9f/index.html")</f>
        <v>https://jicheng.tw/tcm/book/%e6%96%b9%e6%a9%9f/index.html</v>
      </c>
    </row>
    <row r="1454" spans="1:10">
      <c r="A1454" s="10" t="s">
        <v>1367</v>
      </c>
      <c r="B1454" s="10" t="s">
        <v>2333</v>
      </c>
      <c r="C1454" s="10"/>
      <c r="D1454" t="s">
        <v>336</v>
      </c>
      <c r="E1454" t="s">
        <v>336</v>
      </c>
      <c r="F1454" t="s">
        <v>3434</v>
      </c>
      <c r="G1454" s="14" t="s">
        <v>3361</v>
      </c>
      <c r="H1454" s="14">
        <v>1810</v>
      </c>
      <c r="J1454" t="str">
        <f>HYPERLINK("https://jicheng.tw/tcm/book/%e6%95%91%e6%80%a5%e9%81%b8%e6%96%b9/index.html")</f>
        <v>https://jicheng.tw/tcm/book/%e6%95%91%e6%80%a5%e9%81%b8%e6%96%b9/index.html</v>
      </c>
    </row>
    <row r="1455" spans="1:10">
      <c r="A1455" s="10" t="s">
        <v>1367</v>
      </c>
      <c r="B1455" s="10" t="s">
        <v>2333</v>
      </c>
      <c r="C1455" s="10"/>
      <c r="D1455" t="s">
        <v>337</v>
      </c>
      <c r="E1455" t="s">
        <v>337</v>
      </c>
      <c r="F1455" t="s">
        <v>3465</v>
      </c>
      <c r="G1455" s="14" t="s">
        <v>3361</v>
      </c>
      <c r="H1455" s="14">
        <v>1781</v>
      </c>
      <c r="J1455" t="str">
        <f>HYPERLINK("https://jicheng.tw/tcm/book/%e5%90%8d%e5%ae%b6%e6%96%b9%e9%81%b8/index.html")</f>
        <v>https://jicheng.tw/tcm/book/%e5%90%8d%e5%ae%b6%e6%96%b9%e9%81%b8/index.html</v>
      </c>
    </row>
    <row r="1456" spans="1:10">
      <c r="A1456" s="10" t="s">
        <v>1367</v>
      </c>
      <c r="B1456" s="10" t="s">
        <v>2333</v>
      </c>
      <c r="C1456" s="10"/>
      <c r="D1456" t="s">
        <v>1609</v>
      </c>
      <c r="E1456" t="s">
        <v>338</v>
      </c>
      <c r="F1456" t="s">
        <v>3463</v>
      </c>
      <c r="G1456" s="14" t="s">
        <v>3361</v>
      </c>
      <c r="J1456" t="str">
        <f>HYPERLINK("https://jicheng.tw/tcm/book/%e5%ae%b6%e5%a1%be%e6%96%b9%e8%88%87%e6%96%b9%e6%a5%b5/index.html")</f>
        <v>https://jicheng.tw/tcm/book/%e5%ae%b6%e5%a1%be%e6%96%b9%e8%88%87%e6%96%b9%e6%a5%b5/index.html</v>
      </c>
    </row>
    <row r="1457" spans="1:10">
      <c r="A1457" s="10" t="s">
        <v>1367</v>
      </c>
      <c r="B1457" s="10" t="s">
        <v>2333</v>
      </c>
      <c r="C1457" s="10"/>
      <c r="D1457" t="s">
        <v>1610</v>
      </c>
      <c r="E1457" t="s">
        <v>339</v>
      </c>
      <c r="F1457" t="s">
        <v>3434</v>
      </c>
      <c r="G1457" s="14" t="s">
        <v>3361</v>
      </c>
      <c r="J1457" t="str">
        <f>HYPERLINK("https://jicheng.tw/tcm/book/%e9%86%ab%e7%95%a5%e6%8a%84/index.html")</f>
        <v>https://jicheng.tw/tcm/book/%e9%86%ab%e7%95%a5%e6%8a%84/index.html</v>
      </c>
    </row>
    <row r="1458" spans="1:10">
      <c r="A1458" s="10" t="s">
        <v>1367</v>
      </c>
      <c r="B1458" s="10" t="s">
        <v>2333</v>
      </c>
      <c r="C1458" s="10"/>
      <c r="D1458" t="s">
        <v>340</v>
      </c>
      <c r="E1458" t="s">
        <v>340</v>
      </c>
      <c r="F1458" t="s">
        <v>3466</v>
      </c>
      <c r="G1458" s="14" t="s">
        <v>3361</v>
      </c>
      <c r="J1458" t="str">
        <f>HYPERLINK("https://jicheng.tw/tcm/book/%e5%8f%a4%e6%96%b9%e5%88%86%e9%87%8f%e8%80%83/index.html")</f>
        <v>https://jicheng.tw/tcm/book/%e5%8f%a4%e6%96%b9%e5%88%86%e9%87%8f%e8%80%83/index.html</v>
      </c>
    </row>
    <row r="1459" spans="1:10">
      <c r="A1459" s="10" t="s">
        <v>1367</v>
      </c>
      <c r="B1459" s="10" t="s">
        <v>2333</v>
      </c>
      <c r="C1459" s="10"/>
      <c r="D1459" t="s">
        <v>2145</v>
      </c>
      <c r="E1459" t="s">
        <v>1166</v>
      </c>
      <c r="F1459" t="s">
        <v>3467</v>
      </c>
      <c r="G1459" s="14" t="s">
        <v>3361</v>
      </c>
      <c r="H1459" s="14">
        <v>1862</v>
      </c>
      <c r="J1459" t="str">
        <f>HYPERLINK("https://jicheng.tw/tcm/book/%e9%86%ab%e9%a4%98/index.html")</f>
        <v>https://jicheng.tw/tcm/book/%e9%86%ab%e9%a4%98/index.html</v>
      </c>
    </row>
    <row r="1460" spans="1:10">
      <c r="A1460" s="10" t="s">
        <v>1367</v>
      </c>
      <c r="B1460" s="10" t="s">
        <v>2333</v>
      </c>
      <c r="C1460" s="10"/>
      <c r="D1460" t="s">
        <v>2146</v>
      </c>
      <c r="E1460" t="s">
        <v>1167</v>
      </c>
      <c r="F1460" t="s">
        <v>3468</v>
      </c>
      <c r="G1460" s="14" t="s">
        <v>3361</v>
      </c>
      <c r="H1460" s="14">
        <v>1809</v>
      </c>
      <c r="J1460" t="str">
        <f>HYPERLINK("https://jicheng.tw/tcm/book/%e9%86%ab%e8%b3%b8/index.html")</f>
        <v>https://jicheng.tw/tcm/book/%e9%86%ab%e8%b3%b8/index.html</v>
      </c>
    </row>
    <row r="1461" spans="1:10">
      <c r="A1461" s="10" t="s">
        <v>1367</v>
      </c>
      <c r="B1461" s="10" t="s">
        <v>2333</v>
      </c>
      <c r="C1461" s="10"/>
      <c r="D1461" t="s">
        <v>2133</v>
      </c>
      <c r="E1461" t="s">
        <v>1153</v>
      </c>
      <c r="F1461" t="s">
        <v>3469</v>
      </c>
      <c r="J1461" t="str">
        <f>HYPERLINK("https://jicheng.tw/tcm/book/%e5%85%88%e5%93%b2%e9%86%ab%e8%a9%b1%e9%9b%86/index.html")</f>
        <v>https://jicheng.tw/tcm/book/%e5%85%88%e5%93%b2%e9%86%ab%e8%a9%b1%e9%9b%86/index.html</v>
      </c>
    </row>
    <row r="1462" spans="1:10">
      <c r="A1462" s="10" t="s">
        <v>1367</v>
      </c>
      <c r="B1462" s="10" t="s">
        <v>2333</v>
      </c>
      <c r="C1462" s="10"/>
      <c r="D1462" t="s">
        <v>1168</v>
      </c>
      <c r="E1462" t="s">
        <v>1168</v>
      </c>
      <c r="F1462" t="s">
        <v>3451</v>
      </c>
      <c r="J1462" t="str">
        <f>HYPERLINK("https://jicheng.tw/tcm/book/%e9%9d%92%e5%9b%8a%e7%91%a3%e6%8e%a2/index.html")</f>
        <v>https://jicheng.tw/tcm/book/%e9%9d%92%e5%9b%8a%e7%91%a3%e6%8e%a2/index.html</v>
      </c>
    </row>
    <row r="1463" spans="1:10">
      <c r="A1463" s="10" t="s">
        <v>1367</v>
      </c>
      <c r="B1463" s="10" t="s">
        <v>2333</v>
      </c>
      <c r="C1463" s="10"/>
      <c r="D1463" t="s">
        <v>2101</v>
      </c>
      <c r="E1463" t="s">
        <v>1115</v>
      </c>
      <c r="F1463" t="s">
        <v>3470</v>
      </c>
      <c r="J1463" t="str">
        <f>HYPERLINK("https://jicheng.tw/tcm/book/%e8%97%a4%e6%b0%8f%e9%86%ab%e8%ab%87/index.html")</f>
        <v>https://jicheng.tw/tcm/book/%e8%97%a4%e6%b0%8f%e9%86%ab%e8%ab%87/index.html</v>
      </c>
    </row>
    <row r="1464" spans="1:10">
      <c r="A1464" s="10" t="s">
        <v>1367</v>
      </c>
      <c r="B1464" s="10" t="s">
        <v>2333</v>
      </c>
      <c r="C1464" s="10"/>
      <c r="D1464" t="s">
        <v>2147</v>
      </c>
      <c r="E1464" t="s">
        <v>1169</v>
      </c>
      <c r="F1464" t="s">
        <v>3471</v>
      </c>
      <c r="J1464" t="str">
        <f>HYPERLINK("https://jicheng.tw/tcm/book/%e9%86%ab%e6%96%b7%e8%88%87%e6%96%a5%e9%86%ab%e6%96%b7/index.html")</f>
        <v>https://jicheng.tw/tcm/book/%e9%86%ab%e6%96%b7%e8%88%87%e6%96%a5%e9%86%ab%e6%96%b7/index.html</v>
      </c>
    </row>
    <row r="1465" spans="1:10">
      <c r="A1465" s="10" t="s">
        <v>1367</v>
      </c>
      <c r="B1465" s="10" t="s">
        <v>2333</v>
      </c>
      <c r="C1465" s="10"/>
      <c r="D1465" t="s">
        <v>2000</v>
      </c>
      <c r="E1465" t="s">
        <v>1006</v>
      </c>
      <c r="F1465" t="s">
        <v>3472</v>
      </c>
      <c r="G1465" s="14" t="s">
        <v>3361</v>
      </c>
      <c r="H1465" s="14">
        <v>1745</v>
      </c>
      <c r="J1465" t="str">
        <f>HYPERLINK("https://jicheng.tw/tcm/book/%e5%8c%97%e5%b1%b1%e9%86%ab%e6%a1%88/index.html")</f>
        <v>https://jicheng.tw/tcm/book/%e5%8c%97%e5%b1%b1%e9%86%ab%e6%a1%88/index.html</v>
      </c>
    </row>
    <row r="1466" spans="1:10">
      <c r="A1466" s="10" t="s">
        <v>1367</v>
      </c>
      <c r="B1466" s="10" t="s">
        <v>2333</v>
      </c>
      <c r="C1466" s="10"/>
      <c r="D1466" t="s">
        <v>2148</v>
      </c>
      <c r="E1466" t="s">
        <v>1170</v>
      </c>
      <c r="F1466" t="s">
        <v>3473</v>
      </c>
      <c r="J1466" t="str">
        <f>HYPERLINK("https://jicheng.tw/tcm/book/%e7%94%9f%e7%94%9f%e5%a0%82%e6%b2%bb%e9%a9%97/index.html")</f>
        <v>https://jicheng.tw/tcm/book/%e7%94%9f%e7%94%9f%e5%a0%82%e6%b2%bb%e9%a9%97/index.html</v>
      </c>
    </row>
    <row r="1467" spans="1:10">
      <c r="A1467" s="10" t="s">
        <v>1367</v>
      </c>
      <c r="B1467" s="10" t="s">
        <v>2333</v>
      </c>
      <c r="C1467" s="10"/>
      <c r="D1467" t="s">
        <v>2149</v>
      </c>
      <c r="E1467" t="s">
        <v>1171</v>
      </c>
      <c r="F1467" t="s">
        <v>3474</v>
      </c>
      <c r="J1467" t="str">
        <f>HYPERLINK("https://jicheng.tw/tcm/book/%e5%bb%ba%e6%ae%8a%e9%8c%84/index.html")</f>
        <v>https://jicheng.tw/tcm/book/%e5%bb%ba%e6%ae%8a%e9%8c%84/index.html</v>
      </c>
    </row>
    <row r="1468" spans="1:10">
      <c r="A1468" s="10" t="s">
        <v>1367</v>
      </c>
      <c r="B1468" s="10" t="s">
        <v>2333</v>
      </c>
      <c r="C1468" s="10"/>
      <c r="D1468" t="s">
        <v>1165</v>
      </c>
      <c r="E1468" t="s">
        <v>1165</v>
      </c>
      <c r="F1468" t="s">
        <v>3475</v>
      </c>
      <c r="G1468" s="14" t="s">
        <v>3361</v>
      </c>
      <c r="H1468" s="14">
        <v>1800</v>
      </c>
      <c r="J1468" t="str">
        <f>HYPERLINK("https://jicheng.tw/tcm/book/%e5%8f%a2%e6%a1%82%e5%81%b6%e8%a8%98/index.html")</f>
        <v>https://jicheng.tw/tcm/book/%e5%8f%a2%e6%a1%82%e5%81%b6%e8%a8%98/index.html</v>
      </c>
    </row>
    <row r="1469" spans="1:10">
      <c r="A1469" s="10" t="s">
        <v>1367</v>
      </c>
      <c r="B1469" s="10" t="s">
        <v>2333</v>
      </c>
      <c r="C1469" s="10"/>
      <c r="D1469" t="s">
        <v>2132</v>
      </c>
      <c r="E1469" t="s">
        <v>1152</v>
      </c>
      <c r="F1469" t="s">
        <v>3463</v>
      </c>
      <c r="G1469" s="14" t="s">
        <v>3361</v>
      </c>
      <c r="H1469" s="14">
        <v>1814</v>
      </c>
      <c r="J1469" t="str">
        <f>HYPERLINK("https://jicheng.tw/tcm/book/%e5%8f%a4%e6%9b%b8%e9%86%ab%e8%a8%80/index.html")</f>
        <v>https://jicheng.tw/tcm/book/%e5%8f%a4%e6%9b%b8%e9%86%ab%e8%a8%80/index.html</v>
      </c>
    </row>
    <row r="1470" spans="1:10">
      <c r="A1470" s="10" t="s">
        <v>1367</v>
      </c>
      <c r="B1470" s="10" t="s">
        <v>2333</v>
      </c>
      <c r="C1470" s="10"/>
      <c r="D1470" t="s">
        <v>1531</v>
      </c>
      <c r="E1470" t="s">
        <v>225</v>
      </c>
      <c r="F1470" t="s">
        <v>3476</v>
      </c>
      <c r="G1470" s="14" t="s">
        <v>3361</v>
      </c>
      <c r="H1470" s="14">
        <v>1771</v>
      </c>
      <c r="J1470" t="str">
        <f>HYPERLINK("https://jicheng.tw/tcm/book/%e8%97%a5%e5%be%b5/index.html")</f>
        <v>https://jicheng.tw/tcm/book/%e8%97%a5%e5%be%b5/index.html</v>
      </c>
    </row>
    <row r="1471" spans="1:10">
      <c r="A1471" s="10" t="s">
        <v>1367</v>
      </c>
      <c r="B1471" s="10" t="s">
        <v>2333</v>
      </c>
      <c r="C1471" s="10"/>
      <c r="D1471" t="s">
        <v>1532</v>
      </c>
      <c r="E1471" t="s">
        <v>226</v>
      </c>
      <c r="F1471" t="s">
        <v>3477</v>
      </c>
      <c r="G1471" s="14" t="s">
        <v>3361</v>
      </c>
      <c r="H1471" s="14">
        <v>1796</v>
      </c>
      <c r="J1471" t="str">
        <f>HYPERLINK("https://jicheng.tw/tcm/book/%e8%97%a5%e5%be%b5%e7%ba%8c%e7%b7%a8/index.html")</f>
        <v>https://jicheng.tw/tcm/book/%e8%97%a5%e5%be%b5%e7%ba%8c%e7%b7%a8/index.html</v>
      </c>
    </row>
    <row r="1472" spans="1:10">
      <c r="A1472" s="10" t="s">
        <v>1367</v>
      </c>
      <c r="B1472" s="10" t="s">
        <v>2333</v>
      </c>
      <c r="C1472" s="10"/>
      <c r="D1472" t="s">
        <v>1533</v>
      </c>
      <c r="E1472" t="s">
        <v>227</v>
      </c>
      <c r="F1472" t="s">
        <v>3478</v>
      </c>
      <c r="J1472" t="str">
        <f>HYPERLINK("https://jicheng.tw/tcm/book/%e6%bc%a2%e8%97%a5%e7%a0%94%e7%a9%b6%e7%b6%b1%e8%a6%81/index.html")</f>
        <v>https://jicheng.tw/tcm/book/%e6%bc%a2%e8%97%a5%e7%a0%94%e7%a9%b6%e7%b6%b1%e8%a6%81/index.html</v>
      </c>
    </row>
    <row r="1473" spans="1:10">
      <c r="A1473" s="10" t="s">
        <v>1367</v>
      </c>
      <c r="B1473" s="10" t="s">
        <v>2333</v>
      </c>
      <c r="C1473" s="10"/>
      <c r="D1473" t="s">
        <v>1534</v>
      </c>
      <c r="E1473" t="s">
        <v>228</v>
      </c>
      <c r="F1473" t="s">
        <v>3479</v>
      </c>
      <c r="G1473" s="14" t="s">
        <v>3394</v>
      </c>
      <c r="H1473" s="14">
        <v>1636</v>
      </c>
      <c r="J1473" t="str">
        <f>HYPERLINK("https://jicheng.tw/tcm/book/%e4%b8%ad%e5%9c%8b%e8%97%a5%e7%89%a9%e5%ad%b8%e5%a4%a7%e7%b6%b1/index.html")</f>
        <v>https://jicheng.tw/tcm/book/%e4%b8%ad%e5%9c%8b%e8%97%a5%e7%89%a9%e5%ad%b8%e5%a4%a7%e7%b6%b1/index.html</v>
      </c>
    </row>
    <row r="1474" spans="1:10">
      <c r="A1474" s="10" t="s">
        <v>1367</v>
      </c>
      <c r="B1474" s="10" t="s">
        <v>2333</v>
      </c>
      <c r="C1474" s="10"/>
      <c r="D1474" t="s">
        <v>229</v>
      </c>
      <c r="E1474" t="s">
        <v>229</v>
      </c>
      <c r="F1474" t="s">
        <v>3480</v>
      </c>
      <c r="J1474" t="str">
        <f>HYPERLINK("https://jicheng.tw/tcm/book/%e9%b9%bf%e8%8c%b8%e4%b9%8b%e7%a0%94%e7%a9%b6/index.html")</f>
        <v>https://jicheng.tw/tcm/book/%e9%b9%bf%e8%8c%b8%e4%b9%8b%e7%a0%94%e7%a9%b6/index.html</v>
      </c>
    </row>
    <row r="1475" spans="1:10">
      <c r="A1475" s="10" t="s">
        <v>1367</v>
      </c>
      <c r="B1475" s="10" t="s">
        <v>2333</v>
      </c>
      <c r="C1475" s="10"/>
      <c r="D1475" t="s">
        <v>1535</v>
      </c>
      <c r="E1475" t="s">
        <v>230</v>
      </c>
      <c r="F1475" t="s">
        <v>3481</v>
      </c>
      <c r="J1475" t="str">
        <f>HYPERLINK("https://jicheng.tw/tcm/book/%e7%8a%80%e9%bb%83%e4%b9%8b%e7%a0%94%e7%a9%b6/index.html")</f>
        <v>https://jicheng.tw/tcm/book/%e7%8a%80%e9%bb%83%e4%b9%8b%e7%a0%94%e7%a9%b6/index.html</v>
      </c>
    </row>
    <row r="1476" spans="1:10">
      <c r="A1476" s="10" t="s">
        <v>1367</v>
      </c>
      <c r="B1476" s="10" t="s">
        <v>2333</v>
      </c>
      <c r="C1476" s="10"/>
      <c r="D1476" t="s">
        <v>1536</v>
      </c>
      <c r="E1476" t="s">
        <v>231</v>
      </c>
      <c r="F1476" t="s">
        <v>3482</v>
      </c>
      <c r="G1476" s="14" t="s">
        <v>3394</v>
      </c>
      <c r="H1476" s="14">
        <v>1636</v>
      </c>
      <c r="J1476" t="str">
        <f>HYPERLINK("https://jicheng.tw/tcm/book/%e4%b8%ad%e5%9c%8b%e8%97%a5%e4%b8%80%e7%99%be%e7%a8%ae%e4%b9%8b%e5%8c%96%e5%ad%b8%e5%af%a6%e9%a9%97/index.html")</f>
        <v>https://jicheng.tw/tcm/book/%e4%b8%ad%e5%9c%8b%e8%97%a5%e4%b8%80%e7%99%be%e7%a8%ae%e4%b9%8b%e5%8c%96%e5%ad%b8%e5%af%a6%e9%a9%97/index.html</v>
      </c>
    </row>
    <row r="1477" spans="1:10">
      <c r="A1477" s="10" t="s">
        <v>1367</v>
      </c>
      <c r="B1477" s="10" t="s">
        <v>2333</v>
      </c>
      <c r="C1477" s="10"/>
      <c r="D1477" t="s">
        <v>1537</v>
      </c>
      <c r="E1477" t="s">
        <v>232</v>
      </c>
      <c r="F1477" t="s">
        <v>3483</v>
      </c>
      <c r="J1477" t="str">
        <f>HYPERLINK("https://jicheng.tw/tcm/book/%e6%bc%a2%e8%97%a5%e8%89%af%e5%8a%a3%e9%91%91%e5%88%a5%e6%b3%95/index.html")</f>
        <v>https://jicheng.tw/tcm/book/%e6%bc%a2%e8%97%a5%e8%89%af%e5%8a%a3%e9%91%91%e5%88%a5%e6%b3%95/index.html</v>
      </c>
    </row>
    <row r="1478" spans="1:10">
      <c r="A1478" s="10" t="s">
        <v>1367</v>
      </c>
      <c r="B1478" s="10" t="s">
        <v>2333</v>
      </c>
      <c r="C1478" s="10"/>
      <c r="D1478" t="s">
        <v>2344</v>
      </c>
      <c r="E1478" t="s">
        <v>233</v>
      </c>
      <c r="F1478" t="s">
        <v>3484</v>
      </c>
      <c r="G1478" s="14" t="s">
        <v>3394</v>
      </c>
      <c r="H1478" s="14">
        <v>1636</v>
      </c>
      <c r="J1478" t="str">
        <f>HYPERLINK("https://jicheng.tw/tcm/book/%e4%b8%ad%e5%9c%8b%e9%86%ab%e8%97%a5%e8%ab%96%e6%96%87%e9%9b%86/index.html")</f>
        <v>https://jicheng.tw/tcm/book/%e4%b8%ad%e5%9c%8b%e9%86%ab%e8%97%a5%e8%ab%96%e6%96%87%e9%9b%86/index.html</v>
      </c>
    </row>
  </sheetData>
  <autoFilter ref="A1:J1478"/>
  <phoneticPr fontId="1"/>
  <hyperlinks>
    <hyperlink ref="J468" r:id="rId1"/>
    <hyperlink ref="J1405" r:id="rId2"/>
    <hyperlink ref="J1406" r:id="rId3"/>
    <hyperlink ref="J136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58"/>
  <sheetViews>
    <sheetView workbookViewId="0">
      <selection activeCell="V8" sqref="V8"/>
    </sheetView>
  </sheetViews>
  <sheetFormatPr defaultRowHeight="18"/>
  <cols>
    <col min="1" max="1" width="14.33203125" customWidth="1"/>
    <col min="2" max="2" width="15.33203125" customWidth="1"/>
    <col min="3" max="3" width="8.75" bestFit="1" customWidth="1"/>
    <col min="4" max="4" width="8.5" bestFit="1" customWidth="1"/>
    <col min="5" max="5" width="10.4140625" bestFit="1" customWidth="1"/>
    <col min="6" max="6" width="3" bestFit="1" customWidth="1"/>
    <col min="7" max="7" width="4.83203125" bestFit="1" customWidth="1"/>
    <col min="8" max="8" width="3" bestFit="1" customWidth="1"/>
    <col min="9" max="10" width="4.83203125" bestFit="1" customWidth="1"/>
    <col min="11" max="11" width="7.5" bestFit="1" customWidth="1"/>
    <col min="12" max="12" width="3" bestFit="1" customWidth="1"/>
    <col min="13" max="13" width="4.83203125" bestFit="1" customWidth="1"/>
    <col min="14" max="16" width="7.1640625" bestFit="1" customWidth="1"/>
    <col min="17" max="18" width="3" bestFit="1" customWidth="1"/>
    <col min="19" max="19" width="4.83203125" bestFit="1" customWidth="1"/>
    <col min="20" max="21" width="3.1640625" bestFit="1" customWidth="1"/>
    <col min="22" max="22" width="4.83203125" bestFit="1" customWidth="1"/>
    <col min="23" max="23" width="3.1640625" bestFit="1" customWidth="1"/>
    <col min="24" max="24" width="8.5" bestFit="1" customWidth="1"/>
    <col min="25" max="26" width="3.1640625" bestFit="1" customWidth="1"/>
    <col min="27" max="27" width="4.83203125" bestFit="1" customWidth="1"/>
    <col min="28" max="28" width="8.5" bestFit="1" customWidth="1"/>
    <col min="29" max="29" width="4.83203125" bestFit="1" customWidth="1"/>
    <col min="30" max="30" width="6.33203125" bestFit="1" customWidth="1"/>
    <col min="31" max="31" width="6.6640625" customWidth="1"/>
    <col min="32" max="33" width="4.83203125" customWidth="1"/>
    <col min="34" max="39" width="8.5" customWidth="1"/>
    <col min="40" max="40" width="6.33203125" customWidth="1"/>
  </cols>
  <sheetData>
    <row r="3" spans="1:30">
      <c r="A3" s="12" t="s">
        <v>2485</v>
      </c>
      <c r="D3" s="12" t="s">
        <v>2507</v>
      </c>
    </row>
    <row r="4" spans="1:30">
      <c r="A4" s="12" t="s">
        <v>2472</v>
      </c>
      <c r="B4" s="12" t="s">
        <v>2474</v>
      </c>
      <c r="C4" s="12" t="s">
        <v>2601</v>
      </c>
      <c r="D4" t="s">
        <v>2499</v>
      </c>
      <c r="E4" t="s">
        <v>2602</v>
      </c>
      <c r="F4" t="s">
        <v>2588</v>
      </c>
      <c r="G4" t="s">
        <v>2381</v>
      </c>
      <c r="H4" t="s">
        <v>2701</v>
      </c>
      <c r="I4" t="s">
        <v>2596</v>
      </c>
      <c r="J4" t="s">
        <v>2526</v>
      </c>
      <c r="K4" t="s">
        <v>2522</v>
      </c>
      <c r="L4" t="s">
        <v>2469</v>
      </c>
      <c r="M4" t="s">
        <v>2591</v>
      </c>
      <c r="N4" t="s">
        <v>2346</v>
      </c>
      <c r="O4" t="s">
        <v>2603</v>
      </c>
      <c r="P4" t="s">
        <v>3486</v>
      </c>
      <c r="Q4" t="s">
        <v>3487</v>
      </c>
      <c r="R4" t="s">
        <v>2349</v>
      </c>
      <c r="S4" t="s">
        <v>2351</v>
      </c>
      <c r="T4" t="s">
        <v>2352</v>
      </c>
      <c r="U4" t="s">
        <v>2510</v>
      </c>
      <c r="V4" t="s">
        <v>2514</v>
      </c>
      <c r="W4" t="s">
        <v>2356</v>
      </c>
      <c r="X4" t="s">
        <v>3485</v>
      </c>
      <c r="Y4" t="s">
        <v>2359</v>
      </c>
      <c r="Z4" t="s">
        <v>2361</v>
      </c>
      <c r="AA4" t="s">
        <v>3489</v>
      </c>
      <c r="AB4" t="s">
        <v>3488</v>
      </c>
      <c r="AC4" t="s">
        <v>2517</v>
      </c>
      <c r="AD4" t="s">
        <v>2481</v>
      </c>
    </row>
    <row r="5" spans="1:30">
      <c r="A5" t="s">
        <v>1384</v>
      </c>
      <c r="B5" t="s">
        <v>1385</v>
      </c>
      <c r="C5" t="s">
        <v>1</v>
      </c>
      <c r="D5" s="13"/>
      <c r="E5" s="13">
        <v>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>
        <v>1</v>
      </c>
      <c r="S5" s="13"/>
      <c r="T5" s="13">
        <v>2</v>
      </c>
      <c r="U5" s="13">
        <v>4</v>
      </c>
      <c r="V5" s="13"/>
      <c r="W5" s="13">
        <v>1</v>
      </c>
      <c r="X5" s="13"/>
      <c r="Y5" s="13">
        <v>2</v>
      </c>
      <c r="Z5" s="13">
        <v>10</v>
      </c>
      <c r="AA5" s="13"/>
      <c r="AB5" s="13"/>
      <c r="AC5" s="13"/>
      <c r="AD5" s="13">
        <v>3</v>
      </c>
    </row>
    <row r="6" spans="1:30">
      <c r="C6" t="s">
        <v>1403</v>
      </c>
      <c r="D6" s="13">
        <v>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>
        <v>1</v>
      </c>
      <c r="U6" s="13"/>
      <c r="V6" s="13"/>
      <c r="W6" s="13"/>
      <c r="X6" s="13"/>
      <c r="Y6" s="13">
        <v>1</v>
      </c>
      <c r="Z6" s="13">
        <v>2</v>
      </c>
      <c r="AA6" s="13"/>
      <c r="AB6" s="13"/>
      <c r="AC6" s="13"/>
      <c r="AD6" s="13">
        <v>3</v>
      </c>
    </row>
    <row r="7" spans="1:30">
      <c r="C7" t="s">
        <v>35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1</v>
      </c>
      <c r="S7" s="13"/>
      <c r="T7" s="13"/>
      <c r="U7" s="13">
        <v>2</v>
      </c>
      <c r="V7" s="13"/>
      <c r="W7" s="13"/>
      <c r="X7" s="13"/>
      <c r="Y7" s="13">
        <v>6</v>
      </c>
      <c r="Z7" s="13">
        <v>16</v>
      </c>
      <c r="AA7" s="13"/>
      <c r="AB7" s="13"/>
      <c r="AC7" s="13"/>
      <c r="AD7" s="13"/>
    </row>
    <row r="8" spans="1:30">
      <c r="B8" t="s">
        <v>1436</v>
      </c>
      <c r="C8" t="s">
        <v>2481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>
        <v>1</v>
      </c>
      <c r="W8" s="13">
        <v>2</v>
      </c>
      <c r="X8" s="13"/>
      <c r="Y8" s="13">
        <v>2</v>
      </c>
      <c r="Z8" s="13">
        <v>6</v>
      </c>
      <c r="AA8" s="13"/>
      <c r="AB8" s="13"/>
      <c r="AC8" s="13"/>
      <c r="AD8" s="13">
        <v>1</v>
      </c>
    </row>
    <row r="9" spans="1:30">
      <c r="B9" t="s">
        <v>73</v>
      </c>
      <c r="C9" t="s">
        <v>2481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>
        <v>2</v>
      </c>
    </row>
    <row r="10" spans="1:30">
      <c r="A10" t="s">
        <v>76</v>
      </c>
      <c r="B10" t="s">
        <v>2481</v>
      </c>
      <c r="C10" t="s">
        <v>2481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>
        <v>1</v>
      </c>
      <c r="U10" s="13"/>
      <c r="V10" s="13"/>
      <c r="W10" s="13"/>
      <c r="X10" s="13"/>
      <c r="Y10" s="13">
        <v>2</v>
      </c>
      <c r="Z10" s="13">
        <v>8</v>
      </c>
      <c r="AA10" s="13"/>
      <c r="AB10" s="13"/>
      <c r="AC10" s="13"/>
      <c r="AD10" s="13"/>
    </row>
    <row r="11" spans="1:30">
      <c r="B11" t="s">
        <v>88</v>
      </c>
      <c r="C11" t="s">
        <v>2481</v>
      </c>
      <c r="D11" s="13"/>
      <c r="E11" s="13"/>
      <c r="F11" s="13"/>
      <c r="G11" s="13"/>
      <c r="H11" s="13"/>
      <c r="I11" s="13"/>
      <c r="J11" s="13"/>
      <c r="K11" s="13"/>
      <c r="L11" s="13">
        <v>2</v>
      </c>
      <c r="M11" s="13"/>
      <c r="N11" s="13"/>
      <c r="O11" s="13"/>
      <c r="P11" s="13"/>
      <c r="Q11" s="13"/>
      <c r="R11" s="13"/>
      <c r="S11" s="13"/>
      <c r="T11" s="13">
        <v>2</v>
      </c>
      <c r="U11" s="13"/>
      <c r="V11" s="13">
        <v>1</v>
      </c>
      <c r="W11" s="13">
        <v>3</v>
      </c>
      <c r="X11" s="13"/>
      <c r="Y11" s="13">
        <v>10</v>
      </c>
      <c r="Z11" s="13">
        <v>21</v>
      </c>
      <c r="AA11" s="13"/>
      <c r="AB11" s="13"/>
      <c r="AC11" s="13">
        <v>1</v>
      </c>
      <c r="AD11" s="13">
        <v>1</v>
      </c>
    </row>
    <row r="12" spans="1:30">
      <c r="B12" t="s">
        <v>130</v>
      </c>
      <c r="C12" t="s">
        <v>2481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v>2</v>
      </c>
      <c r="AA12" s="13"/>
      <c r="AB12" s="13"/>
      <c r="AC12" s="13"/>
      <c r="AD12" s="13"/>
    </row>
    <row r="13" spans="1:30">
      <c r="B13" t="s">
        <v>133</v>
      </c>
      <c r="C13" t="s">
        <v>2481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>
        <v>1</v>
      </c>
      <c r="X13" s="13"/>
      <c r="Y13" s="13"/>
      <c r="Z13" s="13">
        <v>3</v>
      </c>
      <c r="AA13" s="13"/>
      <c r="AB13" s="13"/>
      <c r="AC13" s="13">
        <v>2</v>
      </c>
      <c r="AD13" s="13"/>
    </row>
    <row r="14" spans="1:30">
      <c r="A14" t="s">
        <v>140</v>
      </c>
      <c r="B14" t="s">
        <v>141</v>
      </c>
      <c r="C14" t="s">
        <v>2481</v>
      </c>
      <c r="D14" s="13"/>
      <c r="E14" s="13"/>
      <c r="F14" s="13"/>
      <c r="G14" s="13">
        <v>3</v>
      </c>
      <c r="H14" s="13"/>
      <c r="I14" s="13"/>
      <c r="J14" s="13">
        <v>1</v>
      </c>
      <c r="K14" s="13">
        <v>1</v>
      </c>
      <c r="L14" s="13"/>
      <c r="M14" s="13"/>
      <c r="N14" s="13">
        <v>1</v>
      </c>
      <c r="O14" s="13"/>
      <c r="P14" s="13"/>
      <c r="Q14" s="13"/>
      <c r="R14" s="13">
        <v>2</v>
      </c>
      <c r="S14" s="13">
        <v>1</v>
      </c>
      <c r="T14" s="13">
        <v>1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>
      <c r="B15" t="s">
        <v>152</v>
      </c>
      <c r="C15" t="s">
        <v>2481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4</v>
      </c>
      <c r="U15" s="13">
        <v>1</v>
      </c>
      <c r="V15" s="13"/>
      <c r="W15" s="13">
        <v>2</v>
      </c>
      <c r="X15" s="13"/>
      <c r="Y15" s="13">
        <v>2</v>
      </c>
      <c r="Z15" s="13"/>
      <c r="AA15" s="13"/>
      <c r="AB15" s="13"/>
      <c r="AC15" s="13"/>
      <c r="AD15" s="13">
        <v>1</v>
      </c>
    </row>
    <row r="16" spans="1:30">
      <c r="B16" t="s">
        <v>163</v>
      </c>
      <c r="C16" t="s">
        <v>2481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v>17</v>
      </c>
      <c r="Z16" s="13">
        <v>1</v>
      </c>
      <c r="AA16" s="13"/>
      <c r="AB16" s="13"/>
      <c r="AC16" s="13"/>
      <c r="AD16" s="13"/>
    </row>
    <row r="17" spans="1:30">
      <c r="B17" t="s">
        <v>182</v>
      </c>
      <c r="C17" t="s">
        <v>2481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v>1</v>
      </c>
      <c r="Z17" s="13">
        <v>33</v>
      </c>
      <c r="AA17" s="13"/>
      <c r="AB17" s="13"/>
      <c r="AC17" s="13">
        <v>2</v>
      </c>
      <c r="AD17" s="13">
        <v>1</v>
      </c>
    </row>
    <row r="18" spans="1:30">
      <c r="B18" t="s">
        <v>2484</v>
      </c>
      <c r="C18" t="s">
        <v>2481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2</v>
      </c>
      <c r="AA18" s="13"/>
      <c r="AB18" s="13"/>
      <c r="AC18" s="13">
        <v>3</v>
      </c>
      <c r="AD18" s="13">
        <v>9</v>
      </c>
    </row>
    <row r="19" spans="1:30">
      <c r="B19" t="s">
        <v>1538</v>
      </c>
      <c r="C19" t="s">
        <v>2481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>
        <v>1</v>
      </c>
      <c r="P19" s="13"/>
      <c r="Q19" s="13"/>
      <c r="R19" s="13"/>
      <c r="S19" s="13"/>
      <c r="T19" s="13"/>
      <c r="U19" s="13"/>
      <c r="V19" s="13"/>
      <c r="W19" s="13"/>
      <c r="X19" s="13"/>
      <c r="Y19" s="13">
        <v>2</v>
      </c>
      <c r="Z19" s="13">
        <v>1</v>
      </c>
      <c r="AA19" s="13"/>
      <c r="AB19" s="13"/>
      <c r="AC19" s="13"/>
      <c r="AD19" s="13"/>
    </row>
    <row r="20" spans="1:30">
      <c r="A20" t="s">
        <v>1539</v>
      </c>
      <c r="B20" t="s">
        <v>1540</v>
      </c>
      <c r="C20" t="s">
        <v>2481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>
        <v>1</v>
      </c>
      <c r="N20" s="13"/>
      <c r="O20" s="13"/>
      <c r="P20" s="13"/>
      <c r="Q20" s="13"/>
      <c r="R20" s="13">
        <v>2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>
      <c r="B21" t="s">
        <v>1542</v>
      </c>
      <c r="C21" t="s">
        <v>2481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16</v>
      </c>
      <c r="U21" s="13"/>
      <c r="V21" s="13">
        <v>6</v>
      </c>
      <c r="W21" s="13">
        <v>4</v>
      </c>
      <c r="X21" s="13"/>
      <c r="Y21" s="13">
        <v>1</v>
      </c>
      <c r="Z21" s="13">
        <v>1</v>
      </c>
      <c r="AA21" s="13"/>
      <c r="AB21" s="13"/>
      <c r="AC21" s="13"/>
      <c r="AD21" s="13"/>
    </row>
    <row r="22" spans="1:30">
      <c r="B22" t="s">
        <v>1564</v>
      </c>
      <c r="C22" t="s">
        <v>2481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>
        <v>17</v>
      </c>
      <c r="Z22" s="13"/>
      <c r="AA22" s="13"/>
      <c r="AB22" s="13"/>
      <c r="AC22" s="13"/>
      <c r="AD22" s="13"/>
    </row>
    <row r="23" spans="1:30">
      <c r="B23" t="s">
        <v>1579</v>
      </c>
      <c r="C23" t="s">
        <v>2481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>
        <v>40</v>
      </c>
      <c r="AA23" s="13"/>
      <c r="AB23" s="13"/>
      <c r="AC23" s="13">
        <v>1</v>
      </c>
      <c r="AD23" s="13">
        <v>1</v>
      </c>
    </row>
    <row r="24" spans="1:30">
      <c r="B24" t="s">
        <v>2482</v>
      </c>
      <c r="C24" t="s">
        <v>2481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>
        <v>9</v>
      </c>
      <c r="AA24" s="13"/>
      <c r="AB24" s="13"/>
      <c r="AC24" s="13"/>
      <c r="AD24" s="13">
        <v>1</v>
      </c>
    </row>
    <row r="25" spans="1:30">
      <c r="B25" t="s">
        <v>1611</v>
      </c>
      <c r="C25" t="s">
        <v>2481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>
        <v>5</v>
      </c>
      <c r="U25" s="13"/>
      <c r="V25" s="13"/>
      <c r="W25" s="13"/>
      <c r="X25" s="13"/>
      <c r="Y25" s="13">
        <v>8</v>
      </c>
      <c r="Z25" s="13">
        <v>31</v>
      </c>
      <c r="AA25" s="13"/>
      <c r="AB25" s="13"/>
      <c r="AC25" s="13">
        <v>2</v>
      </c>
      <c r="AD25" s="13">
        <v>3</v>
      </c>
    </row>
    <row r="26" spans="1:30">
      <c r="A26" t="s">
        <v>1649</v>
      </c>
      <c r="B26" t="s">
        <v>2481</v>
      </c>
      <c r="C26" t="s">
        <v>2481</v>
      </c>
      <c r="D26" s="13"/>
      <c r="E26" s="13"/>
      <c r="F26" s="13"/>
      <c r="G26" s="13"/>
      <c r="H26" s="13"/>
      <c r="I26" s="13"/>
      <c r="J26" s="13"/>
      <c r="K26" s="13"/>
      <c r="L26" s="13">
        <v>2</v>
      </c>
      <c r="M26" s="13"/>
      <c r="N26" s="13"/>
      <c r="O26" s="13"/>
      <c r="P26" s="13"/>
      <c r="Q26" s="13"/>
      <c r="R26" s="13">
        <v>1</v>
      </c>
      <c r="S26" s="13"/>
      <c r="T26" s="13">
        <v>4</v>
      </c>
      <c r="U26" s="13">
        <v>3</v>
      </c>
      <c r="V26" s="13">
        <v>1</v>
      </c>
      <c r="W26" s="13">
        <v>6</v>
      </c>
      <c r="X26" s="13"/>
      <c r="Y26" s="13">
        <v>19</v>
      </c>
      <c r="Z26" s="13">
        <v>20</v>
      </c>
      <c r="AA26" s="13"/>
      <c r="AB26" s="13"/>
      <c r="AC26" s="13">
        <v>2</v>
      </c>
      <c r="AD26" s="13">
        <v>4</v>
      </c>
    </row>
    <row r="27" spans="1:30">
      <c r="A27" t="s">
        <v>451</v>
      </c>
      <c r="B27" t="s">
        <v>542</v>
      </c>
      <c r="C27" t="s">
        <v>2481</v>
      </c>
      <c r="D27" s="13"/>
      <c r="E27" s="13"/>
      <c r="F27" s="13"/>
      <c r="G27" s="13"/>
      <c r="H27" s="13">
        <v>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>
        <v>12</v>
      </c>
      <c r="AA27" s="13"/>
      <c r="AB27" s="13"/>
      <c r="AC27" s="13"/>
      <c r="AD27" s="13"/>
    </row>
    <row r="28" spans="1:30">
      <c r="B28" t="s">
        <v>452</v>
      </c>
      <c r="C28" t="s">
        <v>2481</v>
      </c>
      <c r="D28" s="13"/>
      <c r="E28" s="13"/>
      <c r="F28" s="13"/>
      <c r="G28" s="13"/>
      <c r="H28" s="13">
        <v>1</v>
      </c>
      <c r="I28" s="13">
        <v>3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10</v>
      </c>
      <c r="U28" s="13">
        <v>10</v>
      </c>
      <c r="V28" s="13">
        <v>1</v>
      </c>
      <c r="W28" s="13">
        <v>2</v>
      </c>
      <c r="X28" s="13"/>
      <c r="Y28" s="13">
        <v>7</v>
      </c>
      <c r="Z28" s="13">
        <v>43</v>
      </c>
      <c r="AA28" s="13"/>
      <c r="AB28" s="13"/>
      <c r="AC28" s="13">
        <v>1</v>
      </c>
      <c r="AD28" s="13">
        <v>12</v>
      </c>
    </row>
    <row r="29" spans="1:30">
      <c r="B29" t="s">
        <v>35</v>
      </c>
      <c r="C29" t="s">
        <v>2481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>
        <v>1</v>
      </c>
      <c r="AA29" s="13"/>
      <c r="AB29" s="13"/>
      <c r="AC29" s="13"/>
      <c r="AD29" s="13"/>
    </row>
    <row r="30" spans="1:30">
      <c r="A30" t="s">
        <v>1746</v>
      </c>
      <c r="B30" t="s">
        <v>2481</v>
      </c>
      <c r="C30" t="s">
        <v>2481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v>4</v>
      </c>
      <c r="Z30" s="13">
        <v>41</v>
      </c>
      <c r="AA30" s="13"/>
      <c r="AB30" s="13"/>
      <c r="AC30" s="13">
        <v>7</v>
      </c>
      <c r="AD30" s="13">
        <v>5</v>
      </c>
    </row>
    <row r="31" spans="1:30">
      <c r="A31" t="s">
        <v>1789</v>
      </c>
      <c r="B31" t="s">
        <v>2481</v>
      </c>
      <c r="C31" t="s">
        <v>2481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>
        <v>1</v>
      </c>
      <c r="O31" s="13"/>
      <c r="P31" s="13"/>
      <c r="Q31" s="13"/>
      <c r="R31" s="13"/>
      <c r="S31" s="13"/>
      <c r="T31" s="13"/>
      <c r="U31" s="13">
        <v>4</v>
      </c>
      <c r="V31" s="13"/>
      <c r="W31" s="13">
        <v>1</v>
      </c>
      <c r="X31" s="13"/>
      <c r="Y31" s="13">
        <v>7</v>
      </c>
      <c r="Z31" s="13">
        <v>18</v>
      </c>
      <c r="AA31" s="13"/>
      <c r="AB31" s="13"/>
      <c r="AC31" s="13"/>
      <c r="AD31" s="13">
        <v>6</v>
      </c>
    </row>
    <row r="32" spans="1:30">
      <c r="B32" t="s">
        <v>1819</v>
      </c>
      <c r="C32" t="s">
        <v>2481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1</v>
      </c>
      <c r="U32" s="13">
        <v>1</v>
      </c>
      <c r="V32" s="13"/>
      <c r="W32" s="13">
        <v>2</v>
      </c>
      <c r="X32" s="13"/>
      <c r="Y32" s="13">
        <v>5</v>
      </c>
      <c r="Z32" s="13">
        <v>7</v>
      </c>
      <c r="AA32" s="13"/>
      <c r="AB32" s="13"/>
      <c r="AC32" s="13"/>
      <c r="AD32" s="13">
        <v>8</v>
      </c>
    </row>
    <row r="33" spans="1:30">
      <c r="A33" t="s">
        <v>1836</v>
      </c>
      <c r="B33" t="s">
        <v>2481</v>
      </c>
      <c r="C33" t="s">
        <v>2481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>
        <v>1</v>
      </c>
      <c r="W33" s="13"/>
      <c r="X33" s="13"/>
      <c r="Y33" s="13">
        <v>8</v>
      </c>
      <c r="Z33" s="13">
        <v>30</v>
      </c>
      <c r="AA33" s="13"/>
      <c r="AB33" s="13"/>
      <c r="AC33" s="13"/>
      <c r="AD33" s="13">
        <v>12</v>
      </c>
    </row>
    <row r="34" spans="1:30">
      <c r="B34" t="s">
        <v>2483</v>
      </c>
      <c r="C34" t="s">
        <v>2481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>
        <v>1</v>
      </c>
      <c r="S34" s="13"/>
      <c r="T34" s="13">
        <v>3</v>
      </c>
      <c r="U34" s="13"/>
      <c r="V34" s="13"/>
      <c r="W34" s="13"/>
      <c r="X34" s="13"/>
      <c r="Y34" s="13">
        <v>5</v>
      </c>
      <c r="Z34" s="13">
        <v>17</v>
      </c>
      <c r="AA34" s="13"/>
      <c r="AB34" s="13"/>
      <c r="AC34" s="13"/>
      <c r="AD34" s="13">
        <v>7</v>
      </c>
    </row>
    <row r="35" spans="1:30">
      <c r="A35" t="s">
        <v>2480</v>
      </c>
      <c r="B35" t="s">
        <v>2481</v>
      </c>
      <c r="C35" t="s">
        <v>2481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>
        <v>1</v>
      </c>
      <c r="S35" s="13"/>
      <c r="T35" s="13">
        <v>7</v>
      </c>
      <c r="U35" s="13"/>
      <c r="V35" s="13">
        <v>1</v>
      </c>
      <c r="W35" s="13">
        <v>2</v>
      </c>
      <c r="X35" s="13"/>
      <c r="Y35" s="13">
        <v>18</v>
      </c>
      <c r="Z35" s="13">
        <v>26</v>
      </c>
      <c r="AA35" s="13"/>
      <c r="AB35" s="13"/>
      <c r="AC35" s="13">
        <v>1</v>
      </c>
      <c r="AD35" s="13">
        <v>17</v>
      </c>
    </row>
    <row r="36" spans="1:30">
      <c r="A36" t="s">
        <v>833</v>
      </c>
      <c r="B36" t="s">
        <v>2481</v>
      </c>
      <c r="C36" t="s">
        <v>2481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>
        <v>1</v>
      </c>
      <c r="Q36" s="13"/>
      <c r="R36" s="13"/>
      <c r="S36" s="13"/>
      <c r="T36" s="13">
        <v>3</v>
      </c>
      <c r="U36" s="13"/>
      <c r="V36" s="13"/>
      <c r="W36" s="13">
        <v>1</v>
      </c>
      <c r="X36" s="13">
        <v>1</v>
      </c>
      <c r="Y36" s="13">
        <v>14</v>
      </c>
      <c r="Z36" s="13">
        <v>19</v>
      </c>
      <c r="AA36" s="13"/>
      <c r="AB36" s="13"/>
      <c r="AC36" s="13">
        <v>2</v>
      </c>
      <c r="AD36" s="13">
        <v>12</v>
      </c>
    </row>
    <row r="37" spans="1:30">
      <c r="A37" t="s">
        <v>887</v>
      </c>
      <c r="B37" t="s">
        <v>2481</v>
      </c>
      <c r="C37" t="s">
        <v>2481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>
        <v>2</v>
      </c>
      <c r="Z37" s="13">
        <v>8</v>
      </c>
      <c r="AA37" s="13"/>
      <c r="AB37" s="13"/>
      <c r="AC37" s="13"/>
      <c r="AD37" s="13">
        <v>9</v>
      </c>
    </row>
    <row r="38" spans="1:30">
      <c r="A38" t="s">
        <v>907</v>
      </c>
      <c r="B38" t="s">
        <v>908</v>
      </c>
      <c r="C38" t="s">
        <v>2481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1</v>
      </c>
      <c r="S38" s="13"/>
      <c r="T38" s="13"/>
      <c r="U38" s="13"/>
      <c r="V38" s="13"/>
      <c r="W38" s="13">
        <v>1</v>
      </c>
      <c r="X38" s="13"/>
      <c r="Y38" s="13">
        <v>7</v>
      </c>
      <c r="Z38" s="13">
        <v>4</v>
      </c>
      <c r="AA38" s="13"/>
      <c r="AB38" s="13"/>
      <c r="AC38" s="13"/>
      <c r="AD38" s="13">
        <v>4</v>
      </c>
    </row>
    <row r="39" spans="1:30">
      <c r="B39" t="s">
        <v>926</v>
      </c>
      <c r="C39" t="s">
        <v>2481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>
        <v>1</v>
      </c>
      <c r="Z39" s="13">
        <v>18</v>
      </c>
      <c r="AA39" s="13"/>
      <c r="AB39" s="13"/>
      <c r="AC39" s="13"/>
      <c r="AD39" s="13">
        <v>3</v>
      </c>
    </row>
    <row r="40" spans="1:30">
      <c r="B40" t="s">
        <v>1971</v>
      </c>
      <c r="C40" t="s">
        <v>2481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>
        <v>1</v>
      </c>
      <c r="Z40" s="13">
        <v>1</v>
      </c>
      <c r="AA40" s="13"/>
      <c r="AB40" s="13"/>
      <c r="AC40" s="13"/>
      <c r="AD40" s="13">
        <v>1</v>
      </c>
    </row>
    <row r="41" spans="1:30">
      <c r="B41" t="s">
        <v>952</v>
      </c>
      <c r="C41" t="s">
        <v>2481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>
        <v>3</v>
      </c>
    </row>
    <row r="42" spans="1:30">
      <c r="A42" t="s">
        <v>955</v>
      </c>
      <c r="B42" t="s">
        <v>2481</v>
      </c>
      <c r="C42" t="s">
        <v>2481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>
        <v>1</v>
      </c>
      <c r="S42" s="13"/>
      <c r="T42" s="13">
        <v>6</v>
      </c>
      <c r="U42" s="13"/>
      <c r="V42" s="13">
        <v>1</v>
      </c>
      <c r="W42" s="13">
        <v>4</v>
      </c>
      <c r="X42" s="13"/>
      <c r="Y42" s="13">
        <v>12</v>
      </c>
      <c r="Z42" s="13">
        <v>7</v>
      </c>
      <c r="AA42" s="13"/>
      <c r="AB42" s="13"/>
      <c r="AC42" s="13"/>
      <c r="AD42" s="13">
        <v>1</v>
      </c>
    </row>
    <row r="43" spans="1:30">
      <c r="B43" t="s">
        <v>1992</v>
      </c>
      <c r="C43" t="s">
        <v>2481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>
        <v>1</v>
      </c>
      <c r="R43" s="13"/>
      <c r="S43" s="13"/>
      <c r="T43" s="13"/>
      <c r="U43" s="13"/>
      <c r="V43" s="13"/>
      <c r="W43" s="13"/>
      <c r="X43" s="13"/>
      <c r="Y43" s="13">
        <v>2</v>
      </c>
      <c r="Z43" s="13">
        <v>1</v>
      </c>
      <c r="AA43" s="13"/>
      <c r="AB43" s="13"/>
      <c r="AC43" s="13"/>
      <c r="AD43" s="13">
        <v>1</v>
      </c>
    </row>
    <row r="44" spans="1:30">
      <c r="B44" t="s">
        <v>1995</v>
      </c>
      <c r="C44" t="s">
        <v>2481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>
        <v>1</v>
      </c>
      <c r="S44" s="13"/>
      <c r="T44" s="13"/>
      <c r="U44" s="13"/>
      <c r="V44" s="13"/>
      <c r="W44" s="13">
        <v>3</v>
      </c>
      <c r="X44" s="13"/>
      <c r="Y44" s="13">
        <v>2</v>
      </c>
      <c r="Z44" s="13">
        <v>2</v>
      </c>
      <c r="AA44" s="13"/>
      <c r="AB44" s="13"/>
      <c r="AC44" s="13"/>
      <c r="AD44" s="13">
        <v>1</v>
      </c>
    </row>
    <row r="45" spans="1:30">
      <c r="B45" t="s">
        <v>1002</v>
      </c>
      <c r="C45" t="s">
        <v>2481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>
        <v>3</v>
      </c>
      <c r="AA45" s="13"/>
      <c r="AB45" s="13"/>
      <c r="AC45" s="13"/>
      <c r="AD45" s="13"/>
    </row>
    <row r="46" spans="1:30">
      <c r="A46" t="s">
        <v>1999</v>
      </c>
      <c r="B46" t="s">
        <v>2481</v>
      </c>
      <c r="C46" t="s">
        <v>2481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>
        <v>5</v>
      </c>
      <c r="Z46" s="13">
        <v>54</v>
      </c>
      <c r="AA46" s="13">
        <v>1</v>
      </c>
      <c r="AB46" s="13">
        <v>1</v>
      </c>
      <c r="AC46" s="13">
        <v>1</v>
      </c>
      <c r="AD46" s="13">
        <v>47</v>
      </c>
    </row>
    <row r="47" spans="1:30">
      <c r="A47" t="s">
        <v>1114</v>
      </c>
      <c r="B47" t="s">
        <v>2481</v>
      </c>
      <c r="C47" t="s">
        <v>2481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v>1</v>
      </c>
      <c r="Q47" s="13"/>
      <c r="R47" s="13"/>
      <c r="S47" s="13"/>
      <c r="T47" s="13"/>
      <c r="U47" s="13"/>
      <c r="V47" s="13">
        <v>1</v>
      </c>
      <c r="W47" s="13">
        <v>4</v>
      </c>
      <c r="X47" s="13"/>
      <c r="Y47" s="13">
        <v>13</v>
      </c>
      <c r="Z47" s="13">
        <v>48</v>
      </c>
      <c r="AA47" s="13"/>
      <c r="AB47" s="13">
        <v>1</v>
      </c>
      <c r="AC47" s="13"/>
      <c r="AD47" s="13">
        <v>31</v>
      </c>
    </row>
    <row r="48" spans="1:30">
      <c r="A48" t="s">
        <v>2188</v>
      </c>
      <c r="B48" t="s">
        <v>2481</v>
      </c>
      <c r="C48" t="s">
        <v>2481</v>
      </c>
      <c r="D48" s="13"/>
      <c r="E48" s="13"/>
      <c r="F48" s="13"/>
      <c r="G48" s="13"/>
      <c r="H48" s="13">
        <v>1</v>
      </c>
      <c r="I48" s="13"/>
      <c r="J48" s="13"/>
      <c r="K48" s="13"/>
      <c r="L48" s="13"/>
      <c r="M48" s="13"/>
      <c r="N48" s="13"/>
      <c r="O48" s="13"/>
      <c r="P48" s="13"/>
      <c r="Q48" s="13">
        <v>2</v>
      </c>
      <c r="R48" s="13">
        <v>7</v>
      </c>
      <c r="S48" s="13"/>
      <c r="T48" s="13">
        <v>3</v>
      </c>
      <c r="U48" s="13">
        <v>9</v>
      </c>
      <c r="V48" s="13">
        <v>1</v>
      </c>
      <c r="W48" s="13">
        <v>11</v>
      </c>
      <c r="X48" s="13">
        <v>1</v>
      </c>
      <c r="Y48" s="13">
        <v>38</v>
      </c>
      <c r="Z48" s="13">
        <v>61</v>
      </c>
      <c r="AA48" s="13"/>
      <c r="AB48" s="13"/>
      <c r="AC48" s="13">
        <v>2</v>
      </c>
      <c r="AD48" s="13">
        <v>7</v>
      </c>
    </row>
    <row r="49" spans="1:30">
      <c r="A49" t="s">
        <v>2302</v>
      </c>
      <c r="B49" t="s">
        <v>2481</v>
      </c>
      <c r="C49" t="s">
        <v>2481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>
        <v>1</v>
      </c>
      <c r="V49" s="13"/>
      <c r="W49" s="13"/>
      <c r="X49" s="13"/>
      <c r="Y49" s="13"/>
      <c r="Z49" s="13">
        <v>1</v>
      </c>
      <c r="AA49" s="13"/>
      <c r="AB49" s="13"/>
      <c r="AC49" s="13">
        <v>1</v>
      </c>
      <c r="AD49" s="13">
        <v>3</v>
      </c>
    </row>
    <row r="50" spans="1:30">
      <c r="A50" t="s">
        <v>1363</v>
      </c>
      <c r="B50" t="s">
        <v>2481</v>
      </c>
      <c r="C50" t="s">
        <v>2481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>
        <v>2</v>
      </c>
      <c r="U50" s="13"/>
      <c r="V50" s="13"/>
      <c r="W50" s="13"/>
      <c r="X50" s="13"/>
      <c r="Y50" s="13"/>
      <c r="Z50" s="13"/>
      <c r="AA50" s="13"/>
      <c r="AB50" s="13"/>
      <c r="AC50" s="13"/>
      <c r="AD50" s="13">
        <v>1</v>
      </c>
    </row>
    <row r="51" spans="1:30">
      <c r="A51" t="s">
        <v>1367</v>
      </c>
      <c r="B51" t="s">
        <v>1565</v>
      </c>
      <c r="C51" t="s">
        <v>2481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>
        <v>3</v>
      </c>
      <c r="Z51" s="13"/>
      <c r="AA51" s="13"/>
      <c r="AB51" s="13"/>
      <c r="AC51" s="13"/>
      <c r="AD51" s="13"/>
    </row>
    <row r="52" spans="1:30">
      <c r="B52" t="s">
        <v>2312</v>
      </c>
      <c r="C52" t="s">
        <v>2481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>
        <v>2</v>
      </c>
      <c r="U52" s="13"/>
      <c r="V52" s="13">
        <v>1</v>
      </c>
      <c r="W52" s="13">
        <v>2</v>
      </c>
      <c r="X52" s="13"/>
      <c r="Y52" s="13">
        <v>11</v>
      </c>
      <c r="Z52" s="13"/>
      <c r="AA52" s="13"/>
      <c r="AB52" s="13"/>
      <c r="AC52" s="13"/>
      <c r="AD52" s="13"/>
    </row>
    <row r="53" spans="1:30">
      <c r="B53" t="s">
        <v>2314</v>
      </c>
      <c r="C53" t="s">
        <v>2481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>
        <v>8</v>
      </c>
      <c r="Z53" s="13"/>
      <c r="AA53" s="13"/>
      <c r="AB53" s="13"/>
      <c r="AC53" s="13"/>
      <c r="AD53" s="13"/>
    </row>
    <row r="54" spans="1:30">
      <c r="B54" t="s">
        <v>2317</v>
      </c>
      <c r="C54" t="s">
        <v>2481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>
        <v>17</v>
      </c>
      <c r="AA54" s="13"/>
      <c r="AB54" s="13"/>
      <c r="AC54" s="13"/>
      <c r="AD54" s="13"/>
    </row>
    <row r="55" spans="1:30">
      <c r="B55" t="s">
        <v>2320</v>
      </c>
      <c r="C55" t="s">
        <v>2481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>
        <v>10</v>
      </c>
      <c r="AA55" s="13"/>
      <c r="AB55" s="13"/>
      <c r="AC55" s="13"/>
      <c r="AD55" s="13"/>
    </row>
    <row r="56" spans="1:30">
      <c r="B56" t="s">
        <v>2331</v>
      </c>
      <c r="C56" t="s">
        <v>2481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>
        <v>3</v>
      </c>
      <c r="AA56" s="13"/>
      <c r="AB56" s="13"/>
      <c r="AC56" s="13"/>
      <c r="AD56" s="13"/>
    </row>
    <row r="57" spans="1:30">
      <c r="B57" t="s">
        <v>2332</v>
      </c>
      <c r="C57" t="s">
        <v>2481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>
        <v>3</v>
      </c>
      <c r="AA57" s="13"/>
      <c r="AB57" s="13"/>
      <c r="AC57" s="13"/>
      <c r="AD57" s="13"/>
    </row>
    <row r="58" spans="1:30">
      <c r="B58" t="s">
        <v>2333</v>
      </c>
      <c r="C58" t="s">
        <v>2481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>
        <v>32</v>
      </c>
      <c r="AA58" s="13"/>
      <c r="AB58" s="13"/>
      <c r="AC58" s="13">
        <v>3</v>
      </c>
      <c r="AD58" s="13">
        <v>37</v>
      </c>
    </row>
  </sheetData>
  <phoneticPr fontId="1"/>
  <conditionalFormatting sqref="B10">
    <cfRule type="cellIs" dxfId="1" priority="2" operator="equal">
      <formula>"（空白）"</formula>
    </cfRule>
  </conditionalFormatting>
  <conditionalFormatting sqref="B1:C1048576">
    <cfRule type="cellIs" dxfId="0" priority="1" operator="equal">
      <formula>$C$8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</vt:lpstr>
      <vt:lpstr>PT</vt:lpstr>
      <vt:lpstr>データ!_FilterDatabase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健二 小林</dc:creator>
  <cp:lastModifiedBy>d k</cp:lastModifiedBy>
  <dcterms:created xsi:type="dcterms:W3CDTF">2024-06-05T05:58:54Z</dcterms:created>
  <dcterms:modified xsi:type="dcterms:W3CDTF">2024-06-23T00:56:13Z</dcterms:modified>
</cp:coreProperties>
</file>