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健康寿命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<sst xmlns="http://schemas.openxmlformats.org/spreadsheetml/2006/main" count="281" uniqueCount="113">
  <si>
    <t>人口</t>
  </si>
  <si>
    <t>１年目</t>
  </si>
  <si>
    <t>２年目</t>
  </si>
  <si>
    <t>３年目</t>
  </si>
  <si>
    <t>４年目</t>
  </si>
  <si>
    <t>５年目</t>
  </si>
  <si>
    <t>計算</t>
  </si>
  <si>
    <t>死亡数合計</t>
  </si>
  <si>
    <t>nMx</t>
  </si>
  <si>
    <t>基礎データー</t>
  </si>
  <si>
    <t>死亡率</t>
  </si>
  <si>
    <t>０歳</t>
  </si>
  <si>
    <r>
      <t>n</t>
    </r>
    <r>
      <rPr>
        <sz val="16"/>
        <rFont val="ＭＳ Ｐゴシック"/>
        <family val="3"/>
      </rPr>
      <t>q</t>
    </r>
    <r>
      <rPr>
        <sz val="11"/>
        <rFont val="ＭＳ Ｐゴシック"/>
        <family val="0"/>
      </rPr>
      <t>x</t>
    </r>
  </si>
  <si>
    <r>
      <t>l</t>
    </r>
    <r>
      <rPr>
        <sz val="11"/>
        <rFont val="ＭＳ Ｐゴシック"/>
        <family val="0"/>
      </rPr>
      <t>x</t>
    </r>
  </si>
  <si>
    <t>nLx</t>
  </si>
  <si>
    <t>Tx</t>
  </si>
  <si>
    <t>平均余命</t>
  </si>
  <si>
    <t>男</t>
  </si>
  <si>
    <t>女</t>
  </si>
  <si>
    <t>５－９歳</t>
  </si>
  <si>
    <t>１０－１４歳</t>
  </si>
  <si>
    <t>１５－１９歳</t>
  </si>
  <si>
    <t>２０－２４歳</t>
  </si>
  <si>
    <t>２５－２９歳</t>
  </si>
  <si>
    <t>３０－３４歳</t>
  </si>
  <si>
    <t>３５－３９歳</t>
  </si>
  <si>
    <t>４０－４４歳</t>
  </si>
  <si>
    <t>４５－４９歳</t>
  </si>
  <si>
    <t>５０－５４歳</t>
  </si>
  <si>
    <t>５５－５９歳</t>
  </si>
  <si>
    <t>６０－６４歳</t>
  </si>
  <si>
    <t>６５－６９歳</t>
  </si>
  <si>
    <t>７０－７４歳</t>
  </si>
  <si>
    <t>７５－７９歳</t>
  </si>
  <si>
    <t>８０歳以上</t>
  </si>
  <si>
    <t>１－４歳</t>
  </si>
  <si>
    <t>平成１０年</t>
  </si>
  <si>
    <t>平成８年</t>
  </si>
  <si>
    <t>平成９年</t>
  </si>
  <si>
    <t>平成１１年</t>
  </si>
  <si>
    <t>平成１２年</t>
  </si>
  <si>
    <t>中央死亡率</t>
  </si>
  <si>
    <t>死亡率</t>
  </si>
  <si>
    <t>生存数</t>
  </si>
  <si>
    <t>定常人口</t>
  </si>
  <si>
    <t>生命表による健康寿命の算出</t>
  </si>
  <si>
    <t>表１</t>
  </si>
  <si>
    <t>表７</t>
  </si>
  <si>
    <t>年齢</t>
  </si>
  <si>
    <t>男性</t>
  </si>
  <si>
    <t>女性</t>
  </si>
  <si>
    <t>小計</t>
  </si>
  <si>
    <t>自立定常人口の算出</t>
  </si>
  <si>
    <t>各年齢健康余命</t>
  </si>
  <si>
    <t>６５歳以上</t>
  </si>
  <si>
    <t>６５歳</t>
  </si>
  <si>
    <t>７０歳以上</t>
  </si>
  <si>
    <t>７０歳</t>
  </si>
  <si>
    <t>７５歳以上</t>
  </si>
  <si>
    <t>７５歳</t>
  </si>
  <si>
    <t>８０－８４歳</t>
  </si>
  <si>
    <t>８５－８９歳</t>
  </si>
  <si>
    <t>９０－９４歳</t>
  </si>
  <si>
    <t>障害期間（６５歳平均余命－６５歳健康余命）</t>
  </si>
  <si>
    <t>１００歳以上</t>
  </si>
  <si>
    <t>表２</t>
  </si>
  <si>
    <t>表８</t>
  </si>
  <si>
    <t>健康寿命</t>
  </si>
  <si>
    <t>表1男性</t>
  </si>
  <si>
    <t>表2男性</t>
  </si>
  <si>
    <t>表2／表1</t>
  </si>
  <si>
    <t>自立率＝1-表２/表１</t>
  </si>
  <si>
    <t>表1女性</t>
  </si>
  <si>
    <t>表2女性</t>
  </si>
  <si>
    <t>自立率＝1-表２/表１</t>
  </si>
  <si>
    <t>↓某区生命表より</t>
  </si>
  <si>
    <t>↑某区自立定常人口</t>
  </si>
  <si>
    <t>某区自立率*定常人口</t>
  </si>
  <si>
    <t>計算結果</t>
  </si>
  <si>
    <t>０歳平均余命</t>
  </si>
  <si>
    <t>障害期間</t>
  </si>
  <si>
    <t>６５歳平均余命</t>
  </si>
  <si>
    <t>注）↓表１表２の太枠の中に数値を入力します。</t>
  </si>
  <si>
    <t>＃１．最初に＞＞太枠の中に過去５年間の年齢別人口・死亡数を入力すると生命表が出力されます。</t>
  </si>
  <si>
    <t>死亡数</t>
  </si>
  <si>
    <t>H１２年11月　男性要支援・要介護者割合</t>
  </si>
  <si>
    <t>H１２年11月　女性要支援・要介護者割合</t>
  </si>
  <si>
    <t>H１２年11月　要支援・要介護者数</t>
  </si>
  <si>
    <t>H１２年11月　年齢別被保険者数</t>
  </si>
  <si>
    <t>表３　男性年齢別　自立率　を計算する。</t>
  </si>
  <si>
    <t>表4　女性年齢別　自立率　を計算する。</t>
  </si>
  <si>
    <t>女性の健康余命を計算する。</t>
  </si>
  <si>
    <t>↓生命表より</t>
  </si>
  <si>
    <t>男性の健康余命を計算する。</t>
  </si>
  <si>
    <t>介護保険被保険者数、要支援・要介護者数から自立率を算出する。</t>
  </si>
  <si>
    <t>男性の自立定常人口を算出する。</t>
  </si>
  <si>
    <t>女性の自立定常人口を算出する。</t>
  </si>
  <si>
    <t>６５歳健康余命</t>
  </si>
  <si>
    <t>７０歳健康余命</t>
  </si>
  <si>
    <t>７５歳健康余命</t>
  </si>
  <si>
    <t>８５歳以上</t>
  </si>
  <si>
    <t>平均余命</t>
  </si>
  <si>
    <t>８０歳</t>
  </si>
  <si>
    <t>８０歳健康余命</t>
  </si>
  <si>
    <t>８５歳－</t>
  </si>
  <si>
    <t>＃２．次に、　下記の表１と表２の数値を入力したらエクセルが自動的に計算して完了です。</t>
  </si>
  <si>
    <r>
      <t>n</t>
    </r>
    <r>
      <rPr>
        <sz val="16"/>
        <rFont val="ＭＳ Ｐゴシック"/>
        <family val="3"/>
      </rPr>
      <t>a</t>
    </r>
    <r>
      <rPr>
        <sz val="11"/>
        <rFont val="ＭＳ Ｐゴシック"/>
        <family val="0"/>
      </rPr>
      <t>x</t>
    </r>
  </si>
  <si>
    <r>
      <t>１－n</t>
    </r>
    <r>
      <rPr>
        <sz val="16"/>
        <rFont val="ＭＳ Ｐゴシック"/>
        <family val="3"/>
      </rPr>
      <t>a</t>
    </r>
    <r>
      <rPr>
        <sz val="11"/>
        <rFont val="ＭＳ Ｐゴシック"/>
        <family val="0"/>
      </rPr>
      <t>x</t>
    </r>
  </si>
  <si>
    <t>「自立率  (Independent ratio)はI＝１－（要支援者数＋要介護者数）/介護保険被保険者数」で計算しました。</t>
  </si>
  <si>
    <t>表５</t>
  </si>
  <si>
    <t>表６</t>
  </si>
  <si>
    <t>健康寿命（０歳平均余命－障害期間）</t>
  </si>
  <si>
    <t>９５－９９歳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</si>
</sst>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762000</xdr:colOff>
      <xdr:row>37</xdr:row>
      <xdr:rowOff>123825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133600" y="6677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B68"/>
  <sheetViews>
    <sheetView tabSelected="1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4" width="10.25390625" style="1" customWidth="1"/>
    <col min="5" max="9" width="9.00390625" style="1" customWidth="1"/>
    <col min="10" max="10" width="9.875" style="1" customWidth="1"/>
    <col min="11" max="43" width="9.00390625" style="1" customWidth="1"/>
    <col min="44" max="44" width="14.50390625" style="1" customWidth="1"/>
    <col min="45" max="45" width="14.625" style="1" customWidth="1"/>
    <col min="46" max="46" width="13.50390625" style="1" customWidth="1"/>
    <col min="47" max="50" width="9.00390625" style="1" customWidth="1"/>
    <col min="51" max="51" width="10.625" style="1" customWidth="1"/>
    <col min="52" max="16384" width="9.00390625" style="1" customWidth="1"/>
  </cols>
  <sheetData>
    <row r="1" spans="3:29" ht="13.5">
      <c r="C1" s="1" t="s">
        <v>45</v>
      </c>
      <c r="AC1" s="1" t="s">
        <v>105</v>
      </c>
    </row>
    <row r="2" ht="13.5">
      <c r="C2" s="1" t="s">
        <v>83</v>
      </c>
    </row>
    <row r="3" spans="12:54" ht="14.25" thickBot="1">
      <c r="L3" s="1" t="s">
        <v>41</v>
      </c>
      <c r="O3" s="1" t="s">
        <v>42</v>
      </c>
      <c r="P3" s="1" t="s">
        <v>43</v>
      </c>
      <c r="U3" s="1" t="s">
        <v>44</v>
      </c>
      <c r="BB3"/>
    </row>
    <row r="4" spans="3:54" ht="14.25" thickBot="1">
      <c r="C4" s="1" t="s">
        <v>9</v>
      </c>
      <c r="E4" s="6" t="s">
        <v>84</v>
      </c>
      <c r="F4" s="7"/>
      <c r="G4" s="7"/>
      <c r="H4" s="7"/>
      <c r="I4" s="8"/>
      <c r="J4" s="1" t="s">
        <v>6</v>
      </c>
      <c r="K4" s="1" t="s">
        <v>6</v>
      </c>
      <c r="L4" s="1">
        <v>2</v>
      </c>
      <c r="M4" s="1">
        <v>3</v>
      </c>
      <c r="N4" s="1">
        <v>4</v>
      </c>
      <c r="O4" s="1">
        <v>5</v>
      </c>
      <c r="P4" s="1">
        <v>2</v>
      </c>
      <c r="Q4" s="1">
        <v>3</v>
      </c>
      <c r="R4" s="1">
        <v>4</v>
      </c>
      <c r="S4" s="1">
        <v>5</v>
      </c>
      <c r="T4" s="1">
        <v>6</v>
      </c>
      <c r="U4" s="1">
        <v>7</v>
      </c>
      <c r="V4" s="1">
        <v>8</v>
      </c>
      <c r="W4" s="1">
        <v>9</v>
      </c>
      <c r="AC4" s="1" t="s">
        <v>82</v>
      </c>
      <c r="AR4" s="10"/>
      <c r="AS4" s="10"/>
      <c r="AT4" s="10"/>
      <c r="AU4" s="10"/>
      <c r="BB4"/>
    </row>
    <row r="5" spans="3:54" ht="19.5" thickBot="1">
      <c r="C5" s="1" t="s">
        <v>17</v>
      </c>
      <c r="D5" s="1" t="s">
        <v>36</v>
      </c>
      <c r="E5" s="12" t="s">
        <v>37</v>
      </c>
      <c r="F5" s="13" t="s">
        <v>38</v>
      </c>
      <c r="G5" s="13" t="s">
        <v>36</v>
      </c>
      <c r="H5" s="13" t="s">
        <v>39</v>
      </c>
      <c r="I5" s="14" t="s">
        <v>40</v>
      </c>
      <c r="J5" s="1" t="s">
        <v>7</v>
      </c>
      <c r="K5" s="1" t="s">
        <v>8</v>
      </c>
      <c r="M5" s="1" t="s">
        <v>107</v>
      </c>
      <c r="O5" s="1" t="s">
        <v>12</v>
      </c>
      <c r="P5" s="2" t="s">
        <v>13</v>
      </c>
      <c r="R5" s="1" t="s">
        <v>106</v>
      </c>
      <c r="U5" s="1" t="s">
        <v>14</v>
      </c>
      <c r="V5" s="1" t="s">
        <v>15</v>
      </c>
      <c r="W5" s="3" t="s">
        <v>16</v>
      </c>
      <c r="AR5" s="6" t="s">
        <v>78</v>
      </c>
      <c r="AS5" s="7"/>
      <c r="AT5" s="7"/>
      <c r="AU5" s="8"/>
      <c r="BB5"/>
    </row>
    <row r="6" spans="4:54" ht="14.25" thickBot="1">
      <c r="D6" s="3" t="s">
        <v>0</v>
      </c>
      <c r="E6" s="6" t="s">
        <v>1</v>
      </c>
      <c r="F6" s="7" t="s">
        <v>2</v>
      </c>
      <c r="G6" s="7" t="s">
        <v>3</v>
      </c>
      <c r="H6" s="7" t="s">
        <v>4</v>
      </c>
      <c r="I6" s="8" t="s">
        <v>5</v>
      </c>
      <c r="W6" s="4"/>
      <c r="AC6" s="1" t="s">
        <v>94</v>
      </c>
      <c r="AR6" s="12"/>
      <c r="AS6" s="13"/>
      <c r="AT6" s="13"/>
      <c r="AU6" s="14"/>
      <c r="BB6"/>
    </row>
    <row r="7" spans="3:54" ht="13.5">
      <c r="C7" s="1" t="s">
        <v>11</v>
      </c>
      <c r="D7" s="4">
        <v>2911</v>
      </c>
      <c r="E7" s="9">
        <v>16</v>
      </c>
      <c r="F7" s="10">
        <v>15</v>
      </c>
      <c r="G7" s="15">
        <v>12</v>
      </c>
      <c r="H7" s="15">
        <v>6</v>
      </c>
      <c r="I7" s="11">
        <v>7</v>
      </c>
      <c r="J7" s="1">
        <f>SUM(E7:I7)</f>
        <v>56</v>
      </c>
      <c r="K7" s="1">
        <f>J7/D7/5</f>
        <v>0.003847475094469255</v>
      </c>
      <c r="L7" s="1">
        <f>K7</f>
        <v>0.003847475094469255</v>
      </c>
      <c r="M7" s="1">
        <v>0.80263</v>
      </c>
      <c r="N7" s="1">
        <f>L7*M7+1</f>
        <v>1.003088098935074</v>
      </c>
      <c r="O7" s="1">
        <f>L7/N7</f>
        <v>0.0038356302886595082</v>
      </c>
      <c r="P7" s="1">
        <v>100000</v>
      </c>
      <c r="Q7" s="1">
        <f>O7*P7</f>
        <v>383.5630288659508</v>
      </c>
      <c r="R7" s="1">
        <f>1-M7</f>
        <v>0.19737000000000005</v>
      </c>
      <c r="S7" s="1">
        <f>P7-Q7</f>
        <v>99616.43697113406</v>
      </c>
      <c r="T7" s="1">
        <f>Q7*R7</f>
        <v>75.70383500727273</v>
      </c>
      <c r="U7" s="1">
        <f>S7+T7</f>
        <v>99692.14080614132</v>
      </c>
      <c r="V7" s="1">
        <f aca="true" t="shared" si="0" ref="V7:V23">V8+U7</f>
        <v>7785103.337538052</v>
      </c>
      <c r="W7" s="4">
        <f>V7/P7</f>
        <v>77.85103337538052</v>
      </c>
      <c r="X7" s="1" t="s">
        <v>11</v>
      </c>
      <c r="AR7" s="17" t="s">
        <v>49</v>
      </c>
      <c r="AS7" s="26"/>
      <c r="AT7" s="21" t="s">
        <v>50</v>
      </c>
      <c r="AU7" s="22"/>
      <c r="BB7"/>
    </row>
    <row r="8" spans="3:54" ht="13.5">
      <c r="C8" s="1" t="s">
        <v>35</v>
      </c>
      <c r="D8" s="4">
        <v>11144</v>
      </c>
      <c r="E8" s="9">
        <v>6</v>
      </c>
      <c r="F8" s="10">
        <v>3</v>
      </c>
      <c r="G8" s="15">
        <v>5</v>
      </c>
      <c r="H8" s="15">
        <v>5</v>
      </c>
      <c r="I8" s="11">
        <v>2</v>
      </c>
      <c r="J8" s="1">
        <f>SUM(E8:I8)</f>
        <v>21</v>
      </c>
      <c r="K8" s="1">
        <f>J8/D8/5</f>
        <v>0.00037688442211055275</v>
      </c>
      <c r="L8" s="1">
        <f>K8*4</f>
        <v>0.001507537688442211</v>
      </c>
      <c r="M8" s="1">
        <v>0.59324</v>
      </c>
      <c r="N8" s="1">
        <f aca="true" t="shared" si="1" ref="N8:N24">L8*M8+1</f>
        <v>1.0008943316582914</v>
      </c>
      <c r="O8" s="1">
        <f aca="true" t="shared" si="2" ref="O8:O24">L8/N8</f>
        <v>0.0015061906544565078</v>
      </c>
      <c r="P8" s="1">
        <f>P7-Q7</f>
        <v>99616.43697113406</v>
      </c>
      <c r="Q8" s="1">
        <f aca="true" t="shared" si="3" ref="Q8:Q24">O8*P8</f>
        <v>150.04134639617786</v>
      </c>
      <c r="R8" s="1">
        <f aca="true" t="shared" si="4" ref="R8:R24">1-M8</f>
        <v>0.40676</v>
      </c>
      <c r="S8" s="1">
        <f>(P8-Q8)*4</f>
        <v>397865.5824989515</v>
      </c>
      <c r="T8" s="1">
        <f>Q8*R8*4</f>
        <v>244.12327224043722</v>
      </c>
      <c r="U8" s="1">
        <f aca="true" t="shared" si="5" ref="U8:U24">S8+T8</f>
        <v>398109.705771192</v>
      </c>
      <c r="V8" s="1">
        <f t="shared" si="0"/>
        <v>7685411.196731911</v>
      </c>
      <c r="W8" s="4">
        <f aca="true" t="shared" si="6" ref="W8:W25">V8/P8</f>
        <v>77.15003096285123</v>
      </c>
      <c r="X8" s="1" t="s">
        <v>35</v>
      </c>
      <c r="Z8"/>
      <c r="AC8" t="s">
        <v>46</v>
      </c>
      <c r="AD8"/>
      <c r="AE8"/>
      <c r="AF8"/>
      <c r="AG8"/>
      <c r="AH8" t="s">
        <v>109</v>
      </c>
      <c r="AI8" s="1" t="s">
        <v>95</v>
      </c>
      <c r="AJ8"/>
      <c r="AK8"/>
      <c r="AL8"/>
      <c r="AM8"/>
      <c r="AN8"/>
      <c r="AO8"/>
      <c r="AR8" s="20"/>
      <c r="AS8" s="27"/>
      <c r="AT8" s="10"/>
      <c r="AU8" s="22"/>
      <c r="BB8"/>
    </row>
    <row r="9" spans="3:54" ht="14.25" thickBot="1">
      <c r="C9" s="1" t="s">
        <v>19</v>
      </c>
      <c r="D9" s="4">
        <v>14384</v>
      </c>
      <c r="E9" s="9">
        <v>2</v>
      </c>
      <c r="F9" s="10">
        <v>1</v>
      </c>
      <c r="G9" s="15">
        <v>4</v>
      </c>
      <c r="H9" s="15">
        <v>2</v>
      </c>
      <c r="I9" s="11">
        <v>2</v>
      </c>
      <c r="J9" s="1">
        <f aca="true" t="shared" si="7" ref="J9:J25">SUM(E9:I9)</f>
        <v>11</v>
      </c>
      <c r="K9" s="1">
        <f aca="true" t="shared" si="8" ref="K9:K25">J9/D9/5</f>
        <v>0.00015294771968854282</v>
      </c>
      <c r="L9" s="1">
        <f>K9*5</f>
        <v>0.000764738598442714</v>
      </c>
      <c r="M9" s="1">
        <v>0.53028</v>
      </c>
      <c r="N9" s="1">
        <f t="shared" si="1"/>
        <v>1.000405525583982</v>
      </c>
      <c r="O9" s="1">
        <f t="shared" si="2"/>
        <v>0.0007644286030870346</v>
      </c>
      <c r="P9" s="1">
        <f>P8-Q8</f>
        <v>99466.39562473788</v>
      </c>
      <c r="Q9" s="1">
        <f t="shared" si="3"/>
        <v>76.03495786152071</v>
      </c>
      <c r="R9" s="1">
        <f t="shared" si="4"/>
        <v>0.46972</v>
      </c>
      <c r="S9" s="1">
        <f>(P9-Q9)*5</f>
        <v>496951.8033343818</v>
      </c>
      <c r="T9" s="1">
        <f>Q9*R9*5</f>
        <v>178.57570203356755</v>
      </c>
      <c r="U9" s="1">
        <f t="shared" si="5"/>
        <v>497130.37903641537</v>
      </c>
      <c r="V9" s="1">
        <f t="shared" si="0"/>
        <v>7287301.490960719</v>
      </c>
      <c r="W9" s="4">
        <f t="shared" si="6"/>
        <v>73.26395457671862</v>
      </c>
      <c r="X9" s="1" t="s">
        <v>19</v>
      </c>
      <c r="Z9"/>
      <c r="AC9" t="s">
        <v>88</v>
      </c>
      <c r="AD9"/>
      <c r="AE9"/>
      <c r="AF9"/>
      <c r="AG9"/>
      <c r="AH9"/>
      <c r="AI9" t="s">
        <v>75</v>
      </c>
      <c r="AK9"/>
      <c r="AL9"/>
      <c r="AM9"/>
      <c r="AN9"/>
      <c r="AO9"/>
      <c r="AR9" s="20" t="s">
        <v>81</v>
      </c>
      <c r="AS9" s="27"/>
      <c r="AT9" s="21" t="s">
        <v>81</v>
      </c>
      <c r="AU9" s="22"/>
      <c r="BB9"/>
    </row>
    <row r="10" spans="3:54" ht="13.5">
      <c r="C10" s="1" t="s">
        <v>20</v>
      </c>
      <c r="D10" s="4">
        <v>16083</v>
      </c>
      <c r="E10" s="9">
        <v>2</v>
      </c>
      <c r="F10" s="15">
        <v>0</v>
      </c>
      <c r="G10" s="15">
        <v>2</v>
      </c>
      <c r="H10" s="15">
        <v>0</v>
      </c>
      <c r="I10" s="11">
        <v>1</v>
      </c>
      <c r="J10" s="1">
        <f t="shared" si="7"/>
        <v>5</v>
      </c>
      <c r="K10" s="1">
        <f t="shared" si="8"/>
        <v>6.217745445501462E-05</v>
      </c>
      <c r="L10" s="1">
        <f aca="true" t="shared" si="9" ref="L10:L25">K10*5</f>
        <v>0.0003108872722750731</v>
      </c>
      <c r="M10" s="1">
        <v>0.46526</v>
      </c>
      <c r="N10" s="1">
        <f t="shared" si="1"/>
        <v>1.0001446434122987</v>
      </c>
      <c r="O10" s="1">
        <f t="shared" si="2"/>
        <v>0.00031084231098252573</v>
      </c>
      <c r="P10" s="1">
        <f aca="true" t="shared" si="10" ref="P10:P25">P9-Q9</f>
        <v>99390.36066687635</v>
      </c>
      <c r="Q10" s="1">
        <f t="shared" si="3"/>
        <v>30.894729399078575</v>
      </c>
      <c r="R10" s="1">
        <f t="shared" si="4"/>
        <v>0.53474</v>
      </c>
      <c r="S10" s="1">
        <f aca="true" t="shared" si="11" ref="S10:S24">(P10-Q10)*5</f>
        <v>496797.3296873864</v>
      </c>
      <c r="T10" s="1">
        <f aca="true" t="shared" si="12" ref="T10:T24">Q10*R10*5</f>
        <v>82.60323799431639</v>
      </c>
      <c r="U10" s="1">
        <f t="shared" si="5"/>
        <v>496879.9329253807</v>
      </c>
      <c r="V10" s="1">
        <f t="shared" si="0"/>
        <v>6790171.111924304</v>
      </c>
      <c r="W10" s="4">
        <f t="shared" si="6"/>
        <v>68.31820577332155</v>
      </c>
      <c r="X10" s="1" t="s">
        <v>20</v>
      </c>
      <c r="Z10"/>
      <c r="AC10" s="17" t="s">
        <v>48</v>
      </c>
      <c r="AD10" s="18" t="s">
        <v>49</v>
      </c>
      <c r="AE10" s="19" t="s">
        <v>50</v>
      </c>
      <c r="AF10" t="s">
        <v>51</v>
      </c>
      <c r="AG10"/>
      <c r="AH10"/>
      <c r="AI10" s="16" t="s">
        <v>44</v>
      </c>
      <c r="AJ10" t="s">
        <v>77</v>
      </c>
      <c r="AK10"/>
      <c r="AL10"/>
      <c r="AM10" t="s">
        <v>52</v>
      </c>
      <c r="AN10"/>
      <c r="AO10"/>
      <c r="AR10" s="20">
        <f>W21</f>
        <v>17.157466526968733</v>
      </c>
      <c r="AS10" s="27"/>
      <c r="AT10" s="21">
        <f>W55</f>
        <v>21.411570538657436</v>
      </c>
      <c r="AU10" s="22"/>
      <c r="BB10"/>
    </row>
    <row r="11" spans="3:54" ht="13.5">
      <c r="C11" s="1" t="s">
        <v>21</v>
      </c>
      <c r="D11" s="4">
        <v>24364</v>
      </c>
      <c r="E11" s="9">
        <v>7</v>
      </c>
      <c r="F11" s="15">
        <v>8</v>
      </c>
      <c r="G11" s="15">
        <v>6</v>
      </c>
      <c r="H11" s="15">
        <v>9</v>
      </c>
      <c r="I11" s="11">
        <v>6</v>
      </c>
      <c r="J11" s="1">
        <f t="shared" si="7"/>
        <v>36</v>
      </c>
      <c r="K11" s="1">
        <f t="shared" si="8"/>
        <v>0.00029551797734362175</v>
      </c>
      <c r="L11" s="1">
        <f t="shared" si="9"/>
        <v>0.0014775898867181087</v>
      </c>
      <c r="M11" s="1">
        <v>0.42406</v>
      </c>
      <c r="N11" s="1">
        <f t="shared" si="1"/>
        <v>1.0006265867673616</v>
      </c>
      <c r="O11" s="1">
        <f t="shared" si="2"/>
        <v>0.0014766646282022462</v>
      </c>
      <c r="P11" s="1">
        <f t="shared" si="10"/>
        <v>99359.46593747727</v>
      </c>
      <c r="Q11" s="1">
        <f t="shared" si="3"/>
        <v>146.72060882693862</v>
      </c>
      <c r="R11" s="1">
        <f t="shared" si="4"/>
        <v>0.57594</v>
      </c>
      <c r="S11" s="1">
        <f t="shared" si="11"/>
        <v>496063.72664325166</v>
      </c>
      <c r="T11" s="1">
        <f t="shared" si="12"/>
        <v>422.5113372389352</v>
      </c>
      <c r="U11" s="1">
        <f t="shared" si="5"/>
        <v>496486.2379804906</v>
      </c>
      <c r="V11" s="1">
        <f t="shared" si="0"/>
        <v>6293291.178998923</v>
      </c>
      <c r="W11" s="4">
        <f t="shared" si="6"/>
        <v>63.33861720793695</v>
      </c>
      <c r="X11" s="1" t="s">
        <v>21</v>
      </c>
      <c r="Z11"/>
      <c r="AC11" s="20" t="s">
        <v>31</v>
      </c>
      <c r="AD11" s="10">
        <v>16235</v>
      </c>
      <c r="AE11" s="11">
        <v>19895</v>
      </c>
      <c r="AF11">
        <f>AD11+AE11</f>
        <v>36130</v>
      </c>
      <c r="AG11"/>
      <c r="AH11" s="21" t="s">
        <v>31</v>
      </c>
      <c r="AI11" s="1">
        <f>U21</f>
        <v>412154.43795720034</v>
      </c>
      <c r="AJ11">
        <f>AI11*AG41</f>
        <v>403979.8935148093</v>
      </c>
      <c r="AK11"/>
      <c r="AL11"/>
      <c r="AM11" t="s">
        <v>54</v>
      </c>
      <c r="AN11">
        <f>AJ11+AJ12+AJ13+AJ14+AJ15</f>
        <v>1328282.5291523</v>
      </c>
      <c r="AO11"/>
      <c r="AR11" s="20" t="s">
        <v>97</v>
      </c>
      <c r="AS11" s="27"/>
      <c r="AT11" s="21" t="s">
        <v>97</v>
      </c>
      <c r="AU11" s="22"/>
      <c r="BB11"/>
    </row>
    <row r="12" spans="3:54" ht="13.5">
      <c r="C12" s="1" t="s">
        <v>22</v>
      </c>
      <c r="D12" s="4">
        <v>46382</v>
      </c>
      <c r="E12" s="9">
        <v>38</v>
      </c>
      <c r="F12" s="15">
        <v>20</v>
      </c>
      <c r="G12" s="15">
        <v>20</v>
      </c>
      <c r="H12" s="15">
        <v>17</v>
      </c>
      <c r="I12" s="11">
        <v>17</v>
      </c>
      <c r="J12" s="1">
        <f t="shared" si="7"/>
        <v>112</v>
      </c>
      <c r="K12" s="1">
        <f t="shared" si="8"/>
        <v>0.0004829459704195593</v>
      </c>
      <c r="L12" s="1">
        <f t="shared" si="9"/>
        <v>0.0024147298520977964</v>
      </c>
      <c r="M12" s="1">
        <v>0.5044</v>
      </c>
      <c r="N12" s="1">
        <f t="shared" si="1"/>
        <v>1.001217989737398</v>
      </c>
      <c r="O12" s="1">
        <f t="shared" si="2"/>
        <v>0.002411792313810839</v>
      </c>
      <c r="P12" s="1">
        <f t="shared" si="10"/>
        <v>99212.74532865033</v>
      </c>
      <c r="Q12" s="1">
        <f t="shared" si="3"/>
        <v>239.2805366157111</v>
      </c>
      <c r="R12" s="1">
        <f t="shared" si="4"/>
        <v>0.49560000000000004</v>
      </c>
      <c r="S12" s="1">
        <f t="shared" si="11"/>
        <v>494867.32396017306</v>
      </c>
      <c r="T12" s="1">
        <f t="shared" si="12"/>
        <v>592.9371697337322</v>
      </c>
      <c r="U12" s="1">
        <f t="shared" si="5"/>
        <v>495460.2611299068</v>
      </c>
      <c r="V12" s="1">
        <f t="shared" si="0"/>
        <v>5796804.941018432</v>
      </c>
      <c r="W12" s="4">
        <f t="shared" si="6"/>
        <v>58.42802678039038</v>
      </c>
      <c r="X12" s="1" t="s">
        <v>22</v>
      </c>
      <c r="Z12"/>
      <c r="AC12" s="20" t="s">
        <v>32</v>
      </c>
      <c r="AD12" s="10">
        <v>11104</v>
      </c>
      <c r="AE12" s="11">
        <v>15759</v>
      </c>
      <c r="AF12">
        <f aca="true" t="shared" si="13" ref="AF12:AF18">AD12+AE12</f>
        <v>26863</v>
      </c>
      <c r="AG12"/>
      <c r="AH12" s="21" t="s">
        <v>32</v>
      </c>
      <c r="AI12" s="1">
        <f>U22</f>
        <v>369182.52329498995</v>
      </c>
      <c r="AJ12">
        <f>AI12*AG42</f>
        <v>352625.1658921707</v>
      </c>
      <c r="AK12"/>
      <c r="AL12"/>
      <c r="AM12" t="s">
        <v>56</v>
      </c>
      <c r="AN12">
        <f>AJ12+AJ13+AJ14+AJ15</f>
        <v>924302.6356374907</v>
      </c>
      <c r="AO12"/>
      <c r="AR12" s="20">
        <f>AL43</f>
        <v>15.485284962240852</v>
      </c>
      <c r="AS12" s="27"/>
      <c r="AT12" s="21">
        <f>AL58</f>
        <v>16.93620240926819</v>
      </c>
      <c r="AU12" s="22"/>
      <c r="BB12"/>
    </row>
    <row r="13" spans="3:54" ht="13.5">
      <c r="C13" s="1" t="s">
        <v>23</v>
      </c>
      <c r="D13" s="4">
        <v>40535</v>
      </c>
      <c r="E13" s="9">
        <v>21</v>
      </c>
      <c r="F13" s="15">
        <v>25</v>
      </c>
      <c r="G13" s="15">
        <v>18</v>
      </c>
      <c r="H13" s="15">
        <v>25</v>
      </c>
      <c r="I13" s="11">
        <v>24</v>
      </c>
      <c r="J13" s="1">
        <f t="shared" si="7"/>
        <v>113</v>
      </c>
      <c r="K13" s="1">
        <f t="shared" si="8"/>
        <v>0.0005575428641914395</v>
      </c>
      <c r="L13" s="1">
        <f t="shared" si="9"/>
        <v>0.0027877143209571976</v>
      </c>
      <c r="M13" s="1">
        <v>0.49197</v>
      </c>
      <c r="N13" s="1">
        <f t="shared" si="1"/>
        <v>1.0013714718144813</v>
      </c>
      <c r="O13" s="1">
        <f t="shared" si="2"/>
        <v>0.0027838962856669663</v>
      </c>
      <c r="P13" s="1">
        <f t="shared" si="10"/>
        <v>98973.46479203462</v>
      </c>
      <c r="Q13" s="1">
        <f t="shared" si="3"/>
        <v>275.5318610141354</v>
      </c>
      <c r="R13" s="1">
        <f t="shared" si="4"/>
        <v>0.50803</v>
      </c>
      <c r="S13" s="1">
        <f t="shared" si="11"/>
        <v>493489.6646551024</v>
      </c>
      <c r="T13" s="1">
        <f t="shared" si="12"/>
        <v>699.8922567550561</v>
      </c>
      <c r="U13" s="1">
        <f t="shared" si="5"/>
        <v>494189.55691185745</v>
      </c>
      <c r="V13" s="1">
        <f t="shared" si="0"/>
        <v>5301344.679888526</v>
      </c>
      <c r="W13" s="4">
        <f t="shared" si="6"/>
        <v>53.56329285862465</v>
      </c>
      <c r="X13" s="1" t="s">
        <v>23</v>
      </c>
      <c r="Z13"/>
      <c r="AC13" s="20" t="s">
        <v>33</v>
      </c>
      <c r="AD13" s="10">
        <v>7232</v>
      </c>
      <c r="AE13" s="11">
        <v>10948</v>
      </c>
      <c r="AF13">
        <f t="shared" si="13"/>
        <v>18180</v>
      </c>
      <c r="AG13"/>
      <c r="AH13" s="21" t="s">
        <v>33</v>
      </c>
      <c r="AI13" s="1">
        <f>U23</f>
        <v>304417.6434622374</v>
      </c>
      <c r="AJ13">
        <f>AI13*AG43</f>
        <v>277983.14676778426</v>
      </c>
      <c r="AK13"/>
      <c r="AL13"/>
      <c r="AM13" t="s">
        <v>58</v>
      </c>
      <c r="AN13">
        <f>AJ13+AJ14+AJ15</f>
        <v>571677.46974532</v>
      </c>
      <c r="AO13"/>
      <c r="AR13" s="20" t="s">
        <v>67</v>
      </c>
      <c r="AS13" s="27"/>
      <c r="AT13" s="21" t="s">
        <v>67</v>
      </c>
      <c r="AU13" s="22"/>
      <c r="BB13"/>
    </row>
    <row r="14" spans="3:54" ht="13.5">
      <c r="C14" s="1" t="s">
        <v>24</v>
      </c>
      <c r="D14" s="4">
        <v>34438</v>
      </c>
      <c r="E14" s="9">
        <v>20</v>
      </c>
      <c r="F14" s="15">
        <v>19</v>
      </c>
      <c r="G14" s="15">
        <v>21</v>
      </c>
      <c r="H14" s="15">
        <v>23</v>
      </c>
      <c r="I14" s="11">
        <v>23</v>
      </c>
      <c r="J14" s="1">
        <f t="shared" si="7"/>
        <v>106</v>
      </c>
      <c r="K14" s="1">
        <f t="shared" si="8"/>
        <v>0.0006155990475637378</v>
      </c>
      <c r="L14" s="1">
        <f t="shared" si="9"/>
        <v>0.003077995237818689</v>
      </c>
      <c r="M14" s="1">
        <v>0.48473</v>
      </c>
      <c r="N14" s="1">
        <f t="shared" si="1"/>
        <v>1.0014919966316278</v>
      </c>
      <c r="O14" s="1">
        <f t="shared" si="2"/>
        <v>0.0030734097208675423</v>
      </c>
      <c r="P14" s="1">
        <f t="shared" si="10"/>
        <v>98697.93293102048</v>
      </c>
      <c r="Q14" s="1">
        <f t="shared" si="3"/>
        <v>303.33918649973106</v>
      </c>
      <c r="R14" s="1">
        <f t="shared" si="4"/>
        <v>0.51527</v>
      </c>
      <c r="S14" s="1">
        <f t="shared" si="11"/>
        <v>491972.96872260375</v>
      </c>
      <c r="T14" s="1">
        <f t="shared" si="12"/>
        <v>781.5079131385821</v>
      </c>
      <c r="U14" s="1">
        <f t="shared" si="5"/>
        <v>492754.47663574235</v>
      </c>
      <c r="V14" s="1">
        <f t="shared" si="0"/>
        <v>4807155.122976668</v>
      </c>
      <c r="W14" s="4">
        <f t="shared" si="6"/>
        <v>48.70573253379447</v>
      </c>
      <c r="X14" s="1" t="s">
        <v>24</v>
      </c>
      <c r="Z14"/>
      <c r="AC14" s="20" t="s">
        <v>60</v>
      </c>
      <c r="AD14" s="10">
        <v>5084</v>
      </c>
      <c r="AE14" s="11">
        <v>8144</v>
      </c>
      <c r="AF14">
        <f t="shared" si="13"/>
        <v>13228</v>
      </c>
      <c r="AG14"/>
      <c r="AH14" s="21" t="s">
        <v>60</v>
      </c>
      <c r="AI14" s="1">
        <f>U24</f>
        <v>218612.6255412619</v>
      </c>
      <c r="AJ14">
        <f>AI14*AG44</f>
        <v>189587.5424884783</v>
      </c>
      <c r="AK14"/>
      <c r="AL14"/>
      <c r="AM14" t="s">
        <v>34</v>
      </c>
      <c r="AN14">
        <f>AJ14+AJ15</f>
        <v>293694.3229775358</v>
      </c>
      <c r="AO14"/>
      <c r="AR14" s="20">
        <f>AR18-AR16</f>
        <v>76.17885181065265</v>
      </c>
      <c r="AS14" s="27"/>
      <c r="AT14" s="21">
        <f>AT18-AT16</f>
        <v>79.10452910143331</v>
      </c>
      <c r="AU14" s="22"/>
      <c r="BB14"/>
    </row>
    <row r="15" spans="3:54" ht="13.5">
      <c r="C15" s="1" t="s">
        <v>25</v>
      </c>
      <c r="D15" s="4">
        <v>27140</v>
      </c>
      <c r="E15" s="9">
        <v>21</v>
      </c>
      <c r="F15" s="15">
        <v>39</v>
      </c>
      <c r="G15" s="15">
        <v>19</v>
      </c>
      <c r="H15" s="15">
        <v>37</v>
      </c>
      <c r="I15" s="11">
        <v>26</v>
      </c>
      <c r="J15" s="1">
        <f t="shared" si="7"/>
        <v>142</v>
      </c>
      <c r="K15" s="1">
        <f t="shared" si="8"/>
        <v>0.0010464259395725865</v>
      </c>
      <c r="L15" s="1">
        <f t="shared" si="9"/>
        <v>0.005232129697862933</v>
      </c>
      <c r="M15" s="1">
        <v>0.46991</v>
      </c>
      <c r="N15" s="1">
        <f t="shared" si="1"/>
        <v>1.0024586300663227</v>
      </c>
      <c r="O15" s="1">
        <f t="shared" si="2"/>
        <v>0.005219297376408216</v>
      </c>
      <c r="P15" s="1">
        <f t="shared" si="10"/>
        <v>98394.59374452075</v>
      </c>
      <c r="Q15" s="1">
        <f t="shared" si="3"/>
        <v>513.5506449835294</v>
      </c>
      <c r="R15" s="1">
        <f t="shared" si="4"/>
        <v>0.53009</v>
      </c>
      <c r="S15" s="1">
        <f t="shared" si="11"/>
        <v>489405.2154976862</v>
      </c>
      <c r="T15" s="1">
        <f t="shared" si="12"/>
        <v>1361.1403069965954</v>
      </c>
      <c r="U15" s="1">
        <f t="shared" si="5"/>
        <v>490766.35580468277</v>
      </c>
      <c r="V15" s="1">
        <f t="shared" si="0"/>
        <v>4314400.646340926</v>
      </c>
      <c r="W15" s="4">
        <f t="shared" si="6"/>
        <v>43.84794410090422</v>
      </c>
      <c r="X15" s="1" t="s">
        <v>25</v>
      </c>
      <c r="Z15"/>
      <c r="AC15" s="20" t="s">
        <v>61</v>
      </c>
      <c r="AD15" s="10">
        <v>3350</v>
      </c>
      <c r="AE15" s="11">
        <v>6647</v>
      </c>
      <c r="AF15">
        <f t="shared" si="13"/>
        <v>9997</v>
      </c>
      <c r="AG15"/>
      <c r="AH15" s="33" t="s">
        <v>104</v>
      </c>
      <c r="AI15" s="1">
        <f>U25</f>
        <v>167350.1509780914</v>
      </c>
      <c r="AJ15">
        <f>AI15*AG50</f>
        <v>104106.78048905745</v>
      </c>
      <c r="AK15"/>
      <c r="AL15"/>
      <c r="AM15"/>
      <c r="AN15"/>
      <c r="AO15"/>
      <c r="AR15" s="20" t="s">
        <v>80</v>
      </c>
      <c r="AS15" s="27"/>
      <c r="AT15" s="21" t="s">
        <v>80</v>
      </c>
      <c r="AU15" s="22"/>
      <c r="BB15"/>
    </row>
    <row r="16" spans="3:54" ht="13.5">
      <c r="C16" s="1" t="s">
        <v>26</v>
      </c>
      <c r="D16" s="4">
        <v>24660</v>
      </c>
      <c r="E16" s="9">
        <v>39</v>
      </c>
      <c r="F16" s="15">
        <v>28</v>
      </c>
      <c r="G16" s="15">
        <v>36</v>
      </c>
      <c r="H16" s="15">
        <v>35</v>
      </c>
      <c r="I16" s="11">
        <v>25</v>
      </c>
      <c r="J16" s="1">
        <f t="shared" si="7"/>
        <v>163</v>
      </c>
      <c r="K16" s="1">
        <f t="shared" si="8"/>
        <v>0.001321978913219789</v>
      </c>
      <c r="L16" s="1">
        <f t="shared" si="9"/>
        <v>0.006609894566098945</v>
      </c>
      <c r="M16" s="1">
        <v>0.45734</v>
      </c>
      <c r="N16" s="1">
        <f t="shared" si="1"/>
        <v>1.0030229691808596</v>
      </c>
      <c r="O16" s="1">
        <f t="shared" si="2"/>
        <v>0.006589973279970905</v>
      </c>
      <c r="P16" s="1">
        <f t="shared" si="10"/>
        <v>97881.04309953723</v>
      </c>
      <c r="Q16" s="1">
        <f t="shared" si="3"/>
        <v>645.0334586416309</v>
      </c>
      <c r="R16" s="1">
        <f t="shared" si="4"/>
        <v>0.5426599999999999</v>
      </c>
      <c r="S16" s="1">
        <f t="shared" si="11"/>
        <v>486180.048204478</v>
      </c>
      <c r="T16" s="1">
        <f t="shared" si="12"/>
        <v>1750.1692833323368</v>
      </c>
      <c r="U16" s="1">
        <f t="shared" si="5"/>
        <v>487930.21748781035</v>
      </c>
      <c r="V16" s="1">
        <f t="shared" si="0"/>
        <v>3823634.290536243</v>
      </c>
      <c r="W16" s="4">
        <f t="shared" si="6"/>
        <v>39.06409422555817</v>
      </c>
      <c r="X16" s="1" t="s">
        <v>26</v>
      </c>
      <c r="Z16"/>
      <c r="AC16" s="20" t="s">
        <v>62</v>
      </c>
      <c r="AD16" s="21">
        <v>0</v>
      </c>
      <c r="AE16" s="22">
        <v>0</v>
      </c>
      <c r="AF16">
        <f t="shared" si="13"/>
        <v>0</v>
      </c>
      <c r="AG16"/>
      <c r="AH16"/>
      <c r="AI16"/>
      <c r="AJ16"/>
      <c r="AK16"/>
      <c r="AL16"/>
      <c r="AM16"/>
      <c r="AN16"/>
      <c r="AO16"/>
      <c r="AR16" s="20">
        <f>AR10-AL43</f>
        <v>1.6721815647278806</v>
      </c>
      <c r="AS16" s="27"/>
      <c r="AT16" s="21">
        <f>AT10-AL58</f>
        <v>4.4753681293892456</v>
      </c>
      <c r="AU16" s="22"/>
      <c r="BB16"/>
    </row>
    <row r="17" spans="3:54" ht="13.5">
      <c r="C17" s="1" t="s">
        <v>27</v>
      </c>
      <c r="D17" s="4">
        <v>29994</v>
      </c>
      <c r="E17" s="9">
        <v>77</v>
      </c>
      <c r="F17" s="15">
        <v>69</v>
      </c>
      <c r="G17" s="15">
        <v>87</v>
      </c>
      <c r="H17" s="15">
        <v>74</v>
      </c>
      <c r="I17" s="11">
        <v>68</v>
      </c>
      <c r="J17" s="1">
        <f t="shared" si="7"/>
        <v>375</v>
      </c>
      <c r="K17" s="1">
        <f t="shared" si="8"/>
        <v>0.002500500100020004</v>
      </c>
      <c r="L17" s="1">
        <f t="shared" si="9"/>
        <v>0.01250250050010002</v>
      </c>
      <c r="M17" s="1">
        <v>0.4613</v>
      </c>
      <c r="N17" s="1">
        <f t="shared" si="1"/>
        <v>1.005767403480696</v>
      </c>
      <c r="O17" s="1">
        <f t="shared" si="2"/>
        <v>0.012430807020422574</v>
      </c>
      <c r="P17" s="1">
        <f t="shared" si="10"/>
        <v>97236.0096408956</v>
      </c>
      <c r="Q17" s="1">
        <f t="shared" si="3"/>
        <v>1208.7220712819221</v>
      </c>
      <c r="R17" s="1">
        <f t="shared" si="4"/>
        <v>0.5387</v>
      </c>
      <c r="S17" s="1">
        <f t="shared" si="11"/>
        <v>480136.43784806837</v>
      </c>
      <c r="T17" s="1">
        <f t="shared" si="12"/>
        <v>3255.692898997857</v>
      </c>
      <c r="U17" s="1">
        <f t="shared" si="5"/>
        <v>483392.1307470662</v>
      </c>
      <c r="V17" s="1">
        <f t="shared" si="0"/>
        <v>3335704.073048433</v>
      </c>
      <c r="W17" s="4">
        <f t="shared" si="6"/>
        <v>34.30523409349677</v>
      </c>
      <c r="X17" s="1" t="s">
        <v>27</v>
      </c>
      <c r="Z17"/>
      <c r="AC17" s="20" t="s">
        <v>112</v>
      </c>
      <c r="AD17" s="21">
        <v>0</v>
      </c>
      <c r="AE17" s="22">
        <v>0</v>
      </c>
      <c r="AF17">
        <f t="shared" si="13"/>
        <v>0</v>
      </c>
      <c r="AG17"/>
      <c r="AH17"/>
      <c r="AI17"/>
      <c r="AJ17" t="s">
        <v>76</v>
      </c>
      <c r="AK17"/>
      <c r="AL17"/>
      <c r="AM17"/>
      <c r="AN17"/>
      <c r="AO17"/>
      <c r="AR17" s="9" t="s">
        <v>79</v>
      </c>
      <c r="AS17" s="27"/>
      <c r="AT17" s="10" t="s">
        <v>79</v>
      </c>
      <c r="AU17" s="22"/>
      <c r="BB17"/>
    </row>
    <row r="18" spans="3:54" ht="14.25" thickBot="1">
      <c r="C18" s="1" t="s">
        <v>28</v>
      </c>
      <c r="D18" s="4">
        <v>24608</v>
      </c>
      <c r="E18" s="9">
        <v>104</v>
      </c>
      <c r="F18" s="15">
        <v>87</v>
      </c>
      <c r="G18" s="15">
        <v>118</v>
      </c>
      <c r="H18" s="15">
        <v>88</v>
      </c>
      <c r="I18" s="11">
        <v>122</v>
      </c>
      <c r="J18" s="1">
        <f t="shared" si="7"/>
        <v>519</v>
      </c>
      <c r="K18" s="1">
        <f t="shared" si="8"/>
        <v>0.00421814044213264</v>
      </c>
      <c r="L18" s="1">
        <f t="shared" si="9"/>
        <v>0.021090702210663198</v>
      </c>
      <c r="M18" s="1">
        <v>0.46497</v>
      </c>
      <c r="N18" s="1">
        <f t="shared" si="1"/>
        <v>1.0098065438068922</v>
      </c>
      <c r="O18" s="1">
        <f t="shared" si="2"/>
        <v>0.02088588387549252</v>
      </c>
      <c r="P18" s="1">
        <f t="shared" si="10"/>
        <v>96027.28756961368</v>
      </c>
      <c r="Q18" s="1">
        <f t="shared" si="3"/>
        <v>2005.6147770574776</v>
      </c>
      <c r="R18" s="1">
        <f t="shared" si="4"/>
        <v>0.53503</v>
      </c>
      <c r="S18" s="1">
        <f t="shared" si="11"/>
        <v>470108.36396278103</v>
      </c>
      <c r="T18" s="1">
        <f t="shared" si="12"/>
        <v>5365.320370845311</v>
      </c>
      <c r="U18" s="1">
        <f t="shared" si="5"/>
        <v>475473.68433362636</v>
      </c>
      <c r="V18" s="1">
        <f t="shared" si="0"/>
        <v>2852311.9423013665</v>
      </c>
      <c r="W18" s="4">
        <f t="shared" si="6"/>
        <v>29.703139747997376</v>
      </c>
      <c r="X18" s="1" t="s">
        <v>28</v>
      </c>
      <c r="Z18"/>
      <c r="AC18" s="23" t="s">
        <v>64</v>
      </c>
      <c r="AD18" s="24">
        <v>0</v>
      </c>
      <c r="AE18" s="25">
        <v>0</v>
      </c>
      <c r="AF18">
        <f t="shared" si="13"/>
        <v>0</v>
      </c>
      <c r="AG18"/>
      <c r="AH18"/>
      <c r="AI18"/>
      <c r="AJ18"/>
      <c r="AK18"/>
      <c r="AL18"/>
      <c r="AM18"/>
      <c r="AN18"/>
      <c r="AO18"/>
      <c r="AR18" s="9">
        <f>W7</f>
        <v>77.85103337538052</v>
      </c>
      <c r="AS18" s="27"/>
      <c r="AT18" s="21">
        <f>W41</f>
        <v>83.57989723082255</v>
      </c>
      <c r="AU18" s="22"/>
      <c r="BB18"/>
    </row>
    <row r="19" spans="3:54" ht="14.25" thickBot="1">
      <c r="C19" s="1" t="s">
        <v>29</v>
      </c>
      <c r="D19" s="4">
        <v>21622</v>
      </c>
      <c r="E19" s="9">
        <v>171</v>
      </c>
      <c r="F19" s="15">
        <v>165</v>
      </c>
      <c r="G19" s="15">
        <v>144</v>
      </c>
      <c r="H19" s="15">
        <v>141</v>
      </c>
      <c r="I19" s="11">
        <v>126</v>
      </c>
      <c r="J19" s="1">
        <f t="shared" si="7"/>
        <v>747</v>
      </c>
      <c r="K19" s="1">
        <f t="shared" si="8"/>
        <v>0.006909629081491074</v>
      </c>
      <c r="L19" s="1">
        <f t="shared" si="9"/>
        <v>0.03454814540745537</v>
      </c>
      <c r="M19" s="1">
        <v>0.46058</v>
      </c>
      <c r="N19" s="1">
        <f t="shared" si="1"/>
        <v>1.0159121848117658</v>
      </c>
      <c r="O19" s="1">
        <f t="shared" si="2"/>
        <v>0.03400701942939749</v>
      </c>
      <c r="P19" s="1">
        <f t="shared" si="10"/>
        <v>94021.6727925562</v>
      </c>
      <c r="Q19" s="1">
        <f t="shared" si="3"/>
        <v>3197.396853440912</v>
      </c>
      <c r="R19" s="1">
        <f t="shared" si="4"/>
        <v>0.53942</v>
      </c>
      <c r="S19" s="1">
        <f t="shared" si="11"/>
        <v>454121.3796955765</v>
      </c>
      <c r="T19" s="1">
        <f t="shared" si="12"/>
        <v>8623.699053415483</v>
      </c>
      <c r="U19" s="1">
        <f t="shared" si="5"/>
        <v>462745.078748992</v>
      </c>
      <c r="V19" s="1">
        <f t="shared" si="0"/>
        <v>2376838.2579677403</v>
      </c>
      <c r="W19" s="4">
        <f t="shared" si="6"/>
        <v>25.27968485746743</v>
      </c>
      <c r="X19" s="1" t="s">
        <v>29</v>
      </c>
      <c r="Z19"/>
      <c r="AC19" s="21" t="s">
        <v>51</v>
      </c>
      <c r="AD19" s="21">
        <f>AD11+AD12+AD13+AD14+AD15+AD16+AD17+AD18</f>
        <v>43005</v>
      </c>
      <c r="AE19" s="21">
        <f>AE11+AE12+AE13+AE14+AE15+AE16+AE17+AE18</f>
        <v>61393</v>
      </c>
      <c r="AF19">
        <f>AF11+AF12+AF13+AF14+AF15+AF16+AF17+AF18</f>
        <v>104398</v>
      </c>
      <c r="AG19"/>
      <c r="AH19"/>
      <c r="AI19"/>
      <c r="AJ19"/>
      <c r="AK19"/>
      <c r="AL19"/>
      <c r="AM19"/>
      <c r="AN19"/>
      <c r="AO19"/>
      <c r="AR19" s="23"/>
      <c r="AS19" s="28"/>
      <c r="AT19" s="24"/>
      <c r="AU19" s="25"/>
      <c r="BB19"/>
    </row>
    <row r="20" spans="3:54" ht="13.5">
      <c r="C20" s="1" t="s">
        <v>30</v>
      </c>
      <c r="D20" s="4">
        <v>19861</v>
      </c>
      <c r="E20" s="9">
        <v>212</v>
      </c>
      <c r="F20" s="15">
        <v>255</v>
      </c>
      <c r="G20" s="15">
        <v>215</v>
      </c>
      <c r="H20" s="15">
        <v>237</v>
      </c>
      <c r="I20" s="11">
        <v>214</v>
      </c>
      <c r="J20" s="1">
        <f t="shared" si="7"/>
        <v>1133</v>
      </c>
      <c r="K20" s="1">
        <f t="shared" si="8"/>
        <v>0.011409294597452293</v>
      </c>
      <c r="L20" s="1">
        <f t="shared" si="9"/>
        <v>0.05704647298726147</v>
      </c>
      <c r="M20" s="1">
        <v>0.46543</v>
      </c>
      <c r="N20" s="1">
        <f t="shared" si="1"/>
        <v>1.0265511399224612</v>
      </c>
      <c r="O20" s="1">
        <f t="shared" si="2"/>
        <v>0.05557099960121848</v>
      </c>
      <c r="P20" s="1">
        <f t="shared" si="10"/>
        <v>90824.2759391153</v>
      </c>
      <c r="Q20" s="1">
        <f t="shared" si="3"/>
        <v>5047.195801993534</v>
      </c>
      <c r="R20" s="1">
        <f t="shared" si="4"/>
        <v>0.53457</v>
      </c>
      <c r="S20" s="1">
        <f t="shared" si="11"/>
        <v>428885.40068560874</v>
      </c>
      <c r="T20" s="1">
        <f t="shared" si="12"/>
        <v>13490.397299358418</v>
      </c>
      <c r="U20" s="1">
        <f t="shared" si="5"/>
        <v>442375.7979849671</v>
      </c>
      <c r="V20" s="1">
        <f t="shared" si="0"/>
        <v>1914093.1792187481</v>
      </c>
      <c r="W20" s="4">
        <f t="shared" si="6"/>
        <v>21.074686909718654</v>
      </c>
      <c r="X20" s="1" t="s">
        <v>30</v>
      </c>
      <c r="Z20"/>
      <c r="AC20" t="s">
        <v>100</v>
      </c>
      <c r="AD20">
        <f>AD15+AD16+AD17+AD18</f>
        <v>3350</v>
      </c>
      <c r="AE20">
        <f>AE15+AE16+AE17+AE18</f>
        <v>6647</v>
      </c>
      <c r="AF20">
        <f>AF15+AF16+AF17+AF18</f>
        <v>9997</v>
      </c>
      <c r="AG20"/>
      <c r="AH20"/>
      <c r="AK20"/>
      <c r="AL20"/>
      <c r="AM20"/>
      <c r="AN20"/>
      <c r="AO20"/>
      <c r="AR20" s="20" t="s">
        <v>111</v>
      </c>
      <c r="AS20" s="21"/>
      <c r="AT20" s="21"/>
      <c r="AU20" s="22"/>
      <c r="BB20"/>
    </row>
    <row r="21" spans="3:54" ht="14.25" thickBot="1">
      <c r="C21" s="1" t="s">
        <v>31</v>
      </c>
      <c r="D21" s="4">
        <v>16235</v>
      </c>
      <c r="E21" s="9">
        <v>262</v>
      </c>
      <c r="F21" s="15">
        <v>288</v>
      </c>
      <c r="G21" s="15">
        <v>305</v>
      </c>
      <c r="H21" s="15">
        <v>261</v>
      </c>
      <c r="I21" s="11">
        <v>277</v>
      </c>
      <c r="J21" s="1">
        <f t="shared" si="7"/>
        <v>1393</v>
      </c>
      <c r="K21" s="1">
        <f t="shared" si="8"/>
        <v>0.01716045580535879</v>
      </c>
      <c r="L21" s="1">
        <f t="shared" si="9"/>
        <v>0.08580227902679397</v>
      </c>
      <c r="M21" s="1">
        <v>0.47311</v>
      </c>
      <c r="N21" s="1">
        <f t="shared" si="1"/>
        <v>1.0405939162303666</v>
      </c>
      <c r="O21" s="1">
        <f t="shared" si="2"/>
        <v>0.08245510346400975</v>
      </c>
      <c r="P21" s="1">
        <f t="shared" si="10"/>
        <v>85777.08013712175</v>
      </c>
      <c r="Q21" s="1">
        <f t="shared" si="3"/>
        <v>7072.758017547029</v>
      </c>
      <c r="R21" s="1">
        <f t="shared" si="4"/>
        <v>0.5268900000000001</v>
      </c>
      <c r="S21" s="1">
        <f t="shared" si="11"/>
        <v>393521.6105978736</v>
      </c>
      <c r="T21" s="1">
        <f t="shared" si="12"/>
        <v>18632.827359326773</v>
      </c>
      <c r="U21" s="1">
        <f t="shared" si="5"/>
        <v>412154.43795720034</v>
      </c>
      <c r="V21" s="1">
        <f t="shared" si="0"/>
        <v>1471717.381233781</v>
      </c>
      <c r="W21" s="4">
        <f t="shared" si="6"/>
        <v>17.157466526968733</v>
      </c>
      <c r="X21" s="1" t="s">
        <v>31</v>
      </c>
      <c r="Z21"/>
      <c r="AC21"/>
      <c r="AD21"/>
      <c r="AE21"/>
      <c r="AF21"/>
      <c r="AG21"/>
      <c r="AH21"/>
      <c r="AK21"/>
      <c r="AL21"/>
      <c r="AM21"/>
      <c r="AN21"/>
      <c r="AO21"/>
      <c r="AR21" s="23" t="s">
        <v>63</v>
      </c>
      <c r="AS21" s="24"/>
      <c r="AT21" s="13"/>
      <c r="AU21" s="25"/>
      <c r="BB21"/>
    </row>
    <row r="22" spans="3:54" ht="13.5">
      <c r="C22" s="1" t="s">
        <v>32</v>
      </c>
      <c r="D22" s="4">
        <v>11104</v>
      </c>
      <c r="E22" s="9">
        <v>308</v>
      </c>
      <c r="F22" s="15">
        <v>269</v>
      </c>
      <c r="G22" s="15">
        <v>306</v>
      </c>
      <c r="H22" s="15">
        <v>333</v>
      </c>
      <c r="I22" s="11">
        <v>337</v>
      </c>
      <c r="J22" s="1">
        <f t="shared" si="7"/>
        <v>1553</v>
      </c>
      <c r="K22" s="1">
        <f t="shared" si="8"/>
        <v>0.027971902017291068</v>
      </c>
      <c r="L22" s="1">
        <f t="shared" si="9"/>
        <v>0.13985951008645534</v>
      </c>
      <c r="M22" s="1">
        <v>0.47138</v>
      </c>
      <c r="N22" s="1">
        <f t="shared" si="1"/>
        <v>1.0659269758645533</v>
      </c>
      <c r="O22" s="1">
        <f t="shared" si="2"/>
        <v>0.1312092791094042</v>
      </c>
      <c r="P22" s="1">
        <f t="shared" si="10"/>
        <v>78704.32211957472</v>
      </c>
      <c r="Q22" s="1">
        <f t="shared" si="3"/>
        <v>10326.737368103733</v>
      </c>
      <c r="R22" s="1">
        <f t="shared" si="4"/>
        <v>0.52862</v>
      </c>
      <c r="S22" s="1">
        <f t="shared" si="11"/>
        <v>341887.92375735496</v>
      </c>
      <c r="T22" s="1">
        <f t="shared" si="12"/>
        <v>27294.599537634975</v>
      </c>
      <c r="U22" s="1">
        <f t="shared" si="5"/>
        <v>369182.52329498995</v>
      </c>
      <c r="V22" s="1">
        <f t="shared" si="0"/>
        <v>1059562.9432765807</v>
      </c>
      <c r="W22" s="4">
        <f t="shared" si="6"/>
        <v>13.462576320355023</v>
      </c>
      <c r="X22" s="1" t="s">
        <v>32</v>
      </c>
      <c r="Z22"/>
      <c r="AC22" t="s">
        <v>65</v>
      </c>
      <c r="AD22"/>
      <c r="AE22"/>
      <c r="AF22"/>
      <c r="AG22"/>
      <c r="AH22"/>
      <c r="AI22"/>
      <c r="AJ22"/>
      <c r="AK22"/>
      <c r="AL22"/>
      <c r="AM22"/>
      <c r="AN22"/>
      <c r="AO22"/>
      <c r="AS22"/>
      <c r="AU22"/>
      <c r="BB22"/>
    </row>
    <row r="23" spans="3:54" ht="14.25" thickBot="1">
      <c r="C23" s="1" t="s">
        <v>33</v>
      </c>
      <c r="D23" s="4">
        <v>7232</v>
      </c>
      <c r="E23" s="9">
        <v>386</v>
      </c>
      <c r="F23" s="15">
        <v>371</v>
      </c>
      <c r="G23" s="15">
        <v>382</v>
      </c>
      <c r="H23" s="15">
        <v>379</v>
      </c>
      <c r="I23" s="11">
        <v>348</v>
      </c>
      <c r="J23" s="1">
        <f t="shared" si="7"/>
        <v>1866</v>
      </c>
      <c r="K23" s="1">
        <f t="shared" si="8"/>
        <v>0.051603982300884955</v>
      </c>
      <c r="L23" s="1">
        <f t="shared" si="9"/>
        <v>0.25801991150442477</v>
      </c>
      <c r="M23" s="1">
        <v>0.47705</v>
      </c>
      <c r="N23" s="1">
        <f t="shared" si="1"/>
        <v>1.123088398783186</v>
      </c>
      <c r="O23" s="1">
        <f t="shared" si="2"/>
        <v>0.22974140929955056</v>
      </c>
      <c r="P23" s="1">
        <f t="shared" si="10"/>
        <v>68377.58475147099</v>
      </c>
      <c r="Q23" s="1">
        <f t="shared" si="3"/>
        <v>15709.162685302404</v>
      </c>
      <c r="R23" s="1">
        <f t="shared" si="4"/>
        <v>0.52295</v>
      </c>
      <c r="S23" s="1">
        <f t="shared" si="11"/>
        <v>263342.1103308429</v>
      </c>
      <c r="T23" s="1">
        <f t="shared" si="12"/>
        <v>41075.53313139447</v>
      </c>
      <c r="U23" s="1">
        <f t="shared" si="5"/>
        <v>304417.6434622374</v>
      </c>
      <c r="V23" s="1">
        <f t="shared" si="0"/>
        <v>690380.4199815907</v>
      </c>
      <c r="W23" s="4">
        <f t="shared" si="6"/>
        <v>10.096589730258625</v>
      </c>
      <c r="X23" s="1" t="s">
        <v>33</v>
      </c>
      <c r="Z23"/>
      <c r="AC23" t="s">
        <v>87</v>
      </c>
      <c r="AD23"/>
      <c r="AE23"/>
      <c r="AF23"/>
      <c r="AG23"/>
      <c r="AH23" t="s">
        <v>110</v>
      </c>
      <c r="AI23" t="s">
        <v>96</v>
      </c>
      <c r="AJ23"/>
      <c r="AK23"/>
      <c r="AL23"/>
      <c r="AM23"/>
      <c r="AN23"/>
      <c r="AO23"/>
      <c r="AR23"/>
      <c r="AS23"/>
      <c r="AT23"/>
      <c r="AU23"/>
      <c r="BB23"/>
    </row>
    <row r="24" spans="3:54" ht="15" customHeight="1">
      <c r="C24" s="1" t="s">
        <v>60</v>
      </c>
      <c r="D24" s="4">
        <v>5084</v>
      </c>
      <c r="E24" s="9">
        <v>431</v>
      </c>
      <c r="F24" s="15">
        <v>433</v>
      </c>
      <c r="G24" s="15">
        <v>452</v>
      </c>
      <c r="H24" s="15">
        <v>397</v>
      </c>
      <c r="I24" s="11">
        <v>391</v>
      </c>
      <c r="J24" s="1">
        <f t="shared" si="7"/>
        <v>2104</v>
      </c>
      <c r="K24" s="1">
        <f t="shared" si="8"/>
        <v>0.08276947285601888</v>
      </c>
      <c r="L24" s="1">
        <f t="shared" si="9"/>
        <v>0.4138473642800944</v>
      </c>
      <c r="M24" s="1">
        <v>0.4944</v>
      </c>
      <c r="N24" s="1">
        <f t="shared" si="1"/>
        <v>1.2046061369000787</v>
      </c>
      <c r="O24" s="1">
        <f t="shared" si="2"/>
        <v>0.3435540892603163</v>
      </c>
      <c r="P24" s="1">
        <f t="shared" si="10"/>
        <v>52668.42206616858</v>
      </c>
      <c r="Q24" s="1">
        <f t="shared" si="3"/>
        <v>18094.451775720492</v>
      </c>
      <c r="R24" s="1">
        <f t="shared" si="4"/>
        <v>0.5056</v>
      </c>
      <c r="S24" s="1">
        <f t="shared" si="11"/>
        <v>172869.8514522405</v>
      </c>
      <c r="T24" s="1">
        <f t="shared" si="12"/>
        <v>45742.774089021405</v>
      </c>
      <c r="U24" s="1">
        <f t="shared" si="5"/>
        <v>218612.6255412619</v>
      </c>
      <c r="V24" s="1">
        <f>V25+U24</f>
        <v>385962.77651935327</v>
      </c>
      <c r="W24" s="4">
        <f t="shared" si="6"/>
        <v>7.328162898718688</v>
      </c>
      <c r="X24" s="1" t="s">
        <v>60</v>
      </c>
      <c r="Z24"/>
      <c r="AC24" s="17" t="s">
        <v>48</v>
      </c>
      <c r="AD24" s="18" t="s">
        <v>49</v>
      </c>
      <c r="AE24" s="19" t="s">
        <v>50</v>
      </c>
      <c r="AF24" t="s">
        <v>51</v>
      </c>
      <c r="AG24"/>
      <c r="AH24"/>
      <c r="AI24" t="s">
        <v>75</v>
      </c>
      <c r="AJ24"/>
      <c r="AK24"/>
      <c r="AL24"/>
      <c r="AM24"/>
      <c r="AN24"/>
      <c r="AO24"/>
      <c r="AR24"/>
      <c r="AS24" s="32"/>
      <c r="AT24"/>
      <c r="AU24"/>
      <c r="BB24"/>
    </row>
    <row r="25" spans="3:54" ht="15" customHeight="1" thickBot="1">
      <c r="C25" s="1" t="s">
        <v>100</v>
      </c>
      <c r="D25" s="5">
        <v>3350</v>
      </c>
      <c r="E25" s="12">
        <v>504</v>
      </c>
      <c r="F25" s="13">
        <v>493</v>
      </c>
      <c r="G25" s="13">
        <v>556</v>
      </c>
      <c r="H25" s="13">
        <v>592</v>
      </c>
      <c r="I25" s="14">
        <v>586</v>
      </c>
      <c r="J25" s="1">
        <f t="shared" si="7"/>
        <v>2731</v>
      </c>
      <c r="K25" s="1">
        <f t="shared" si="8"/>
        <v>0.163044776119403</v>
      </c>
      <c r="L25" s="1">
        <f t="shared" si="9"/>
        <v>0.8152238805970149</v>
      </c>
      <c r="P25" s="1">
        <f t="shared" si="10"/>
        <v>34573.970290448095</v>
      </c>
      <c r="Q25" s="1">
        <f>P25</f>
        <v>34573.970290448095</v>
      </c>
      <c r="T25" s="1">
        <f>0.76551*U24</f>
        <v>167350.1509780914</v>
      </c>
      <c r="U25" s="1">
        <f>T25</f>
        <v>167350.1509780914</v>
      </c>
      <c r="V25" s="1">
        <f>U25</f>
        <v>167350.1509780914</v>
      </c>
      <c r="W25" s="5">
        <f t="shared" si="6"/>
        <v>4.840350980006655</v>
      </c>
      <c r="X25" s="1" t="s">
        <v>100</v>
      </c>
      <c r="Z25"/>
      <c r="AC25" s="20" t="s">
        <v>31</v>
      </c>
      <c r="AD25" s="21">
        <v>322</v>
      </c>
      <c r="AE25" s="22">
        <v>403</v>
      </c>
      <c r="AF25">
        <f>AD25+AE25</f>
        <v>725</v>
      </c>
      <c r="AG25"/>
      <c r="AH25"/>
      <c r="AI25" s="16" t="s">
        <v>44</v>
      </c>
      <c r="AJ25" t="s">
        <v>77</v>
      </c>
      <c r="AK25"/>
      <c r="AL25"/>
      <c r="AM25" t="s">
        <v>52</v>
      </c>
      <c r="AN25"/>
      <c r="AO25"/>
      <c r="AR25"/>
      <c r="AS25"/>
      <c r="AT25"/>
      <c r="AU25"/>
      <c r="BB25"/>
    </row>
    <row r="26" spans="26:54" ht="13.5">
      <c r="Z26"/>
      <c r="AC26" s="20" t="s">
        <v>32</v>
      </c>
      <c r="AD26" s="21">
        <v>498</v>
      </c>
      <c r="AE26" s="22">
        <v>857</v>
      </c>
      <c r="AF26">
        <f aca="true" t="shared" si="14" ref="AF26:AF32">AD26+AE26</f>
        <v>1355</v>
      </c>
      <c r="AG26"/>
      <c r="AH26" s="21" t="s">
        <v>31</v>
      </c>
      <c r="AI26">
        <f>U55</f>
        <v>454250.152794921</v>
      </c>
      <c r="AJ26">
        <f>AG55*AI26</f>
        <v>445048.70461314905</v>
      </c>
      <c r="AK26"/>
      <c r="AL26"/>
      <c r="AM26" t="s">
        <v>54</v>
      </c>
      <c r="AN26">
        <f>AJ26+AJ27+AJ28+AJ29+AJ30</f>
        <v>1565337.1112071066</v>
      </c>
      <c r="AO26"/>
      <c r="AR26"/>
      <c r="AS26"/>
      <c r="AT26"/>
      <c r="AU26"/>
      <c r="BB26"/>
    </row>
    <row r="27" spans="26:54" ht="13.5">
      <c r="Z27"/>
      <c r="AC27" s="20" t="s">
        <v>33</v>
      </c>
      <c r="AD27" s="21">
        <v>628</v>
      </c>
      <c r="AE27" s="22">
        <v>1562</v>
      </c>
      <c r="AF27">
        <f t="shared" si="14"/>
        <v>2190</v>
      </c>
      <c r="AG27"/>
      <c r="AH27" s="21" t="s">
        <v>32</v>
      </c>
      <c r="AI27">
        <f>U56</f>
        <v>431532.23141518724</v>
      </c>
      <c r="AJ27">
        <f>AG56*AI27</f>
        <v>408064.8082079523</v>
      </c>
      <c r="AK27"/>
      <c r="AL27"/>
      <c r="AM27" t="s">
        <v>56</v>
      </c>
      <c r="AN27">
        <f>AJ27+AJ28+AJ29+AJ30</f>
        <v>1120288.4065939577</v>
      </c>
      <c r="AO27"/>
      <c r="AR27"/>
      <c r="AS27"/>
      <c r="AT27"/>
      <c r="AU27"/>
      <c r="BB27"/>
    </row>
    <row r="28" spans="26:54" ht="13.5">
      <c r="Z28"/>
      <c r="AC28" s="20" t="s">
        <v>60</v>
      </c>
      <c r="AD28" s="21">
        <v>675</v>
      </c>
      <c r="AE28" s="22">
        <v>2081</v>
      </c>
      <c r="AF28">
        <f t="shared" si="14"/>
        <v>2756</v>
      </c>
      <c r="AG28"/>
      <c r="AH28" s="21" t="s">
        <v>33</v>
      </c>
      <c r="AI28">
        <f>U57</f>
        <v>392173.33548710804</v>
      </c>
      <c r="AJ28">
        <f>AG57*AI28</f>
        <v>336220.21619309427</v>
      </c>
      <c r="AK28"/>
      <c r="AL28"/>
      <c r="AM28" t="s">
        <v>58</v>
      </c>
      <c r="AN28">
        <f>AJ28+AJ29+AJ30</f>
        <v>712223.5983860054</v>
      </c>
      <c r="AO28"/>
      <c r="AR28"/>
      <c r="AS28"/>
      <c r="AT28"/>
      <c r="AU28"/>
      <c r="BB28"/>
    </row>
    <row r="29" spans="26:54" ht="13.5">
      <c r="Z29"/>
      <c r="AC29" s="20" t="s">
        <v>61</v>
      </c>
      <c r="AD29" s="21">
        <v>1266</v>
      </c>
      <c r="AE29" s="22">
        <v>4297</v>
      </c>
      <c r="AF29">
        <f t="shared" si="14"/>
        <v>5563</v>
      </c>
      <c r="AG29"/>
      <c r="AH29" s="21" t="s">
        <v>60</v>
      </c>
      <c r="AI29">
        <f>U58</f>
        <v>327839.66905474395</v>
      </c>
      <c r="AJ29">
        <f>AI29*AG58</f>
        <v>244068.2604959372</v>
      </c>
      <c r="AK29"/>
      <c r="AL29"/>
      <c r="AM29" t="s">
        <v>34</v>
      </c>
      <c r="AN29">
        <f>AJ29+AJ30</f>
        <v>376003.3821929111</v>
      </c>
      <c r="AO29"/>
      <c r="AR29"/>
      <c r="AS29"/>
      <c r="AT29"/>
      <c r="AU29"/>
      <c r="BB29"/>
    </row>
    <row r="30" spans="26:54" ht="13.5">
      <c r="Z30"/>
      <c r="AC30" s="20" t="s">
        <v>62</v>
      </c>
      <c r="AD30" s="21">
        <v>0</v>
      </c>
      <c r="AE30" s="22">
        <v>0</v>
      </c>
      <c r="AF30">
        <f t="shared" si="14"/>
        <v>0</v>
      </c>
      <c r="AG30"/>
      <c r="AH30" s="33" t="s">
        <v>104</v>
      </c>
      <c r="AI30">
        <f>U59</f>
        <v>373179.89528501505</v>
      </c>
      <c r="AJ30">
        <f>AI30*AG64</f>
        <v>131935.1216969739</v>
      </c>
      <c r="AK30"/>
      <c r="AL30"/>
      <c r="AM30"/>
      <c r="AN30"/>
      <c r="AO30"/>
      <c r="AR30"/>
      <c r="AS30"/>
      <c r="AT30"/>
      <c r="AU30"/>
      <c r="BB30"/>
    </row>
    <row r="31" spans="26:41" ht="13.5">
      <c r="Z31"/>
      <c r="AC31" s="20" t="s">
        <v>112</v>
      </c>
      <c r="AD31" s="21">
        <v>0</v>
      </c>
      <c r="AE31" s="22">
        <v>0</v>
      </c>
      <c r="AF31">
        <f t="shared" si="14"/>
        <v>0</v>
      </c>
      <c r="AG31"/>
      <c r="AH31"/>
      <c r="AI31"/>
      <c r="AJ31"/>
      <c r="AK31"/>
      <c r="AL31"/>
      <c r="AM31"/>
      <c r="AN31"/>
      <c r="AO31"/>
    </row>
    <row r="32" spans="26:48" ht="14.25" thickBot="1">
      <c r="Z32"/>
      <c r="AC32" s="23" t="s">
        <v>64</v>
      </c>
      <c r="AD32" s="24">
        <v>0</v>
      </c>
      <c r="AE32" s="25">
        <v>0</v>
      </c>
      <c r="AF32">
        <f t="shared" si="14"/>
        <v>0</v>
      </c>
      <c r="AG32"/>
      <c r="AH32"/>
      <c r="AI32"/>
      <c r="AJ32"/>
      <c r="AK32"/>
      <c r="AL32"/>
      <c r="AM32"/>
      <c r="AN32"/>
      <c r="AO32"/>
      <c r="AV32"/>
    </row>
    <row r="33" spans="26:48" ht="13.5">
      <c r="Z33"/>
      <c r="AC33" t="s">
        <v>51</v>
      </c>
      <c r="AD33">
        <f>AD25+AD26+AD27+AD28+AD29+AD30+AD31+AD32</f>
        <v>3389</v>
      </c>
      <c r="AE33">
        <f>AE25+AE26+AE27+AE28+AE29+AE30+AE31+AE32</f>
        <v>9200</v>
      </c>
      <c r="AF33">
        <f>AF25+AF26+AF27+AF28+AF29+AF30+AF31+AF32</f>
        <v>12589</v>
      </c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26:50" ht="13.5">
      <c r="Z34"/>
      <c r="AC34" t="s">
        <v>100</v>
      </c>
      <c r="AD34">
        <f>AD29+AD30+AD31+AD32</f>
        <v>1266</v>
      </c>
      <c r="AE34">
        <f>AE29+AE30+AE31+AE32</f>
        <v>4297</v>
      </c>
      <c r="AF34">
        <f>AF29+AF30+AF31+AF32</f>
        <v>5563</v>
      </c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26:50" ht="13.5">
      <c r="Z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26:50" ht="13.5">
      <c r="Z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3:50" ht="14.25" thickBot="1">
      <c r="C37" s="1" t="s">
        <v>9</v>
      </c>
      <c r="L37" s="1" t="s">
        <v>10</v>
      </c>
      <c r="P37" s="1" t="s">
        <v>43</v>
      </c>
      <c r="U37" s="1" t="s">
        <v>44</v>
      </c>
      <c r="Z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5:50" ht="14.25" thickBot="1">
      <c r="E38" s="6" t="s">
        <v>84</v>
      </c>
      <c r="F38" s="7"/>
      <c r="G38" s="7"/>
      <c r="H38" s="7"/>
      <c r="I38" s="8"/>
      <c r="J38" s="1" t="s">
        <v>6</v>
      </c>
      <c r="K38" s="1" t="s">
        <v>6</v>
      </c>
      <c r="L38" s="1">
        <v>2</v>
      </c>
      <c r="M38" s="1">
        <v>3</v>
      </c>
      <c r="N38" s="1">
        <v>4</v>
      </c>
      <c r="O38" s="1">
        <v>5</v>
      </c>
      <c r="P38" s="1">
        <v>2</v>
      </c>
      <c r="Q38" s="1">
        <v>3</v>
      </c>
      <c r="R38" s="1">
        <v>4</v>
      </c>
      <c r="S38" s="1">
        <v>5</v>
      </c>
      <c r="T38" s="1">
        <v>6</v>
      </c>
      <c r="U38" s="1">
        <v>7</v>
      </c>
      <c r="V38" s="1">
        <v>8</v>
      </c>
      <c r="W38" s="1">
        <v>9</v>
      </c>
      <c r="Z38"/>
      <c r="AC38" t="s">
        <v>89</v>
      </c>
      <c r="AD38"/>
      <c r="AE38"/>
      <c r="AF38"/>
      <c r="AG38"/>
      <c r="AI38"/>
      <c r="AN38"/>
      <c r="AO38"/>
      <c r="AP38"/>
      <c r="AQ38"/>
      <c r="AR38"/>
      <c r="AS38"/>
      <c r="AT38"/>
      <c r="AU38"/>
      <c r="AV38"/>
      <c r="AW38"/>
      <c r="AX38"/>
    </row>
    <row r="39" spans="3:50" ht="19.5" thickBot="1">
      <c r="C39" s="1" t="s">
        <v>18</v>
      </c>
      <c r="D39" s="1" t="s">
        <v>36</v>
      </c>
      <c r="E39" s="12" t="s">
        <v>37</v>
      </c>
      <c r="F39" s="13" t="s">
        <v>38</v>
      </c>
      <c r="G39" s="13" t="s">
        <v>36</v>
      </c>
      <c r="H39" s="13" t="s">
        <v>39</v>
      </c>
      <c r="I39" s="14" t="s">
        <v>40</v>
      </c>
      <c r="J39" s="1" t="s">
        <v>7</v>
      </c>
      <c r="K39" s="1" t="s">
        <v>8</v>
      </c>
      <c r="M39" s="1" t="s">
        <v>107</v>
      </c>
      <c r="O39" s="1" t="s">
        <v>12</v>
      </c>
      <c r="P39" s="2" t="s">
        <v>13</v>
      </c>
      <c r="R39" s="1" t="s">
        <v>106</v>
      </c>
      <c r="U39" s="1" t="s">
        <v>14</v>
      </c>
      <c r="V39" s="1" t="s">
        <v>15</v>
      </c>
      <c r="W39" s="3" t="s">
        <v>101</v>
      </c>
      <c r="Z39"/>
      <c r="AC39" t="s">
        <v>85</v>
      </c>
      <c r="AD39"/>
      <c r="AE39"/>
      <c r="AF39"/>
      <c r="AG39"/>
      <c r="AI39"/>
      <c r="AN39"/>
      <c r="AO39"/>
      <c r="AP39"/>
      <c r="AQ39"/>
      <c r="AR39"/>
      <c r="AS39"/>
      <c r="AT39"/>
      <c r="AU39"/>
      <c r="AV39"/>
      <c r="AW39"/>
      <c r="AX39"/>
    </row>
    <row r="40" spans="4:50" ht="13.5">
      <c r="D40" s="3" t="s">
        <v>0</v>
      </c>
      <c r="E40" s="6" t="s">
        <v>1</v>
      </c>
      <c r="F40" s="7" t="s">
        <v>2</v>
      </c>
      <c r="G40" s="7" t="s">
        <v>3</v>
      </c>
      <c r="H40" s="7" t="s">
        <v>4</v>
      </c>
      <c r="I40" s="8" t="s">
        <v>5</v>
      </c>
      <c r="W40" s="4"/>
      <c r="Z40"/>
      <c r="AC40" t="s">
        <v>48</v>
      </c>
      <c r="AD40" t="s">
        <v>68</v>
      </c>
      <c r="AE40" t="s">
        <v>69</v>
      </c>
      <c r="AF40" t="s">
        <v>70</v>
      </c>
      <c r="AG40" t="s">
        <v>71</v>
      </c>
      <c r="AI40"/>
      <c r="AJ40" t="s">
        <v>47</v>
      </c>
      <c r="AK40" t="s">
        <v>93</v>
      </c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3:50" ht="14.25" thickBot="1">
      <c r="C41" s="1" t="s">
        <v>11</v>
      </c>
      <c r="D41" s="4">
        <v>2763</v>
      </c>
      <c r="E41" s="9">
        <v>14</v>
      </c>
      <c r="F41" s="10">
        <v>16</v>
      </c>
      <c r="G41" s="15">
        <v>12</v>
      </c>
      <c r="H41" s="15">
        <v>10</v>
      </c>
      <c r="I41" s="11">
        <v>9</v>
      </c>
      <c r="J41" s="1">
        <f>SUM(E41:I41)</f>
        <v>61</v>
      </c>
      <c r="K41" s="1">
        <f>J41/D41/5</f>
        <v>0.004415490408975751</v>
      </c>
      <c r="L41" s="1">
        <f>K41</f>
        <v>0.004415490408975751</v>
      </c>
      <c r="M41" s="1">
        <v>0.79896</v>
      </c>
      <c r="N41" s="1">
        <f>L41*M41+1</f>
        <v>1.0035278002171553</v>
      </c>
      <c r="O41" s="1">
        <f>L41/N41</f>
        <v>0.0043999682002035965</v>
      </c>
      <c r="P41" s="1">
        <v>100000</v>
      </c>
      <c r="Q41" s="1">
        <f>O41*P41</f>
        <v>439.9968200203597</v>
      </c>
      <c r="R41" s="1">
        <f>1-M41</f>
        <v>0.20104</v>
      </c>
      <c r="S41" s="1">
        <f>P41-Q41</f>
        <v>99560.00317997964</v>
      </c>
      <c r="T41" s="1">
        <f>Q41*R41</f>
        <v>88.4569606968931</v>
      </c>
      <c r="U41" s="1">
        <f>S41+T41</f>
        <v>99648.46014067653</v>
      </c>
      <c r="V41" s="1">
        <f aca="true" t="shared" si="15" ref="V41:V57">V42+U41</f>
        <v>8357989.723082255</v>
      </c>
      <c r="W41" s="4">
        <f>V41/P41</f>
        <v>83.57989723082255</v>
      </c>
      <c r="X41" s="1" t="s">
        <v>11</v>
      </c>
      <c r="Z41"/>
      <c r="AC41" t="s">
        <v>31</v>
      </c>
      <c r="AD41">
        <f aca="true" t="shared" si="16" ref="AD41:AD50">AD11</f>
        <v>16235</v>
      </c>
      <c r="AE41">
        <f aca="true" t="shared" si="17" ref="AE41:AE50">AD25</f>
        <v>322</v>
      </c>
      <c r="AF41">
        <f>AE41/AD41</f>
        <v>0.01983369263935941</v>
      </c>
      <c r="AG41">
        <f>1-AF41</f>
        <v>0.9801663073606406</v>
      </c>
      <c r="AI41"/>
      <c r="AJ41"/>
      <c r="AK41" t="s">
        <v>92</v>
      </c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3:50" ht="14.25" thickBot="1">
      <c r="C42" s="1" t="s">
        <v>35</v>
      </c>
      <c r="D42" s="4">
        <v>10485</v>
      </c>
      <c r="E42" s="9">
        <v>7</v>
      </c>
      <c r="F42" s="10">
        <v>5</v>
      </c>
      <c r="G42" s="15">
        <v>3</v>
      </c>
      <c r="H42" s="15">
        <v>2</v>
      </c>
      <c r="I42" s="11">
        <v>3</v>
      </c>
      <c r="J42" s="1">
        <f>SUM(E42:I42)</f>
        <v>20</v>
      </c>
      <c r="K42" s="1">
        <f>J42/D42/5</f>
        <v>0.0003814973772055317</v>
      </c>
      <c r="L42" s="1">
        <f>K42*4</f>
        <v>0.0015259895088221267</v>
      </c>
      <c r="M42" s="1">
        <v>0.61167</v>
      </c>
      <c r="N42" s="1">
        <f aca="true" t="shared" si="18" ref="N42:N58">L42*M42+1</f>
        <v>1.0009334020028613</v>
      </c>
      <c r="O42" s="1">
        <f aca="true" t="shared" si="19" ref="O42:O58">L42/N42</f>
        <v>0.001524566475420474</v>
      </c>
      <c r="P42" s="1">
        <f>P41-Q41</f>
        <v>99560.00317997964</v>
      </c>
      <c r="Q42" s="1">
        <f aca="true" t="shared" si="20" ref="Q42:Q58">O42*P42</f>
        <v>151.78584314095275</v>
      </c>
      <c r="R42" s="1">
        <f aca="true" t="shared" si="21" ref="R42:R58">1-M42</f>
        <v>0.38832999999999995</v>
      </c>
      <c r="S42" s="1">
        <f>(P42-Q42)*4</f>
        <v>397632.86934735475</v>
      </c>
      <c r="T42" s="1">
        <f>Q42*R42*4</f>
        <v>235.7719858677047</v>
      </c>
      <c r="U42" s="1">
        <f aca="true" t="shared" si="22" ref="U42:U58">S42+T42</f>
        <v>397868.64133322245</v>
      </c>
      <c r="V42" s="1">
        <f t="shared" si="15"/>
        <v>8258341.262941578</v>
      </c>
      <c r="W42" s="4">
        <f aca="true" t="shared" si="23" ref="W42:W59">V42/P42</f>
        <v>82.94838287632994</v>
      </c>
      <c r="X42" s="1" t="s">
        <v>35</v>
      </c>
      <c r="Z42"/>
      <c r="AC42" t="s">
        <v>32</v>
      </c>
      <c r="AD42">
        <f t="shared" si="16"/>
        <v>11104</v>
      </c>
      <c r="AE42">
        <f t="shared" si="17"/>
        <v>498</v>
      </c>
      <c r="AF42">
        <f aca="true" t="shared" si="24" ref="AF42:AF50">AE42/AD42</f>
        <v>0.04484870317002882</v>
      </c>
      <c r="AG42">
        <f aca="true" t="shared" si="25" ref="AG42:AG50">1-AF42</f>
        <v>0.9551512968299711</v>
      </c>
      <c r="AI42"/>
      <c r="AJ42" t="s">
        <v>49</v>
      </c>
      <c r="AK42" s="16" t="s">
        <v>43</v>
      </c>
      <c r="AL42" s="29" t="s">
        <v>53</v>
      </c>
      <c r="AM42"/>
      <c r="AN42"/>
      <c r="AO42"/>
      <c r="AP42"/>
      <c r="AQ42"/>
      <c r="AR42"/>
      <c r="AS42"/>
      <c r="AT42"/>
      <c r="AU42"/>
      <c r="AV42"/>
      <c r="AW42"/>
      <c r="AX42"/>
    </row>
    <row r="43" spans="3:50" ht="13.5">
      <c r="C43" s="1" t="s">
        <v>19</v>
      </c>
      <c r="D43" s="4">
        <v>13728</v>
      </c>
      <c r="E43" s="9">
        <v>1</v>
      </c>
      <c r="F43" s="10">
        <v>1</v>
      </c>
      <c r="G43" s="15">
        <v>0</v>
      </c>
      <c r="H43" s="15">
        <v>3</v>
      </c>
      <c r="I43" s="11">
        <v>4</v>
      </c>
      <c r="J43" s="1">
        <f aca="true" t="shared" si="26" ref="J43:J59">SUM(E43:I43)</f>
        <v>9</v>
      </c>
      <c r="K43" s="1">
        <f aca="true" t="shared" si="27" ref="K43:K59">J43/D43/5</f>
        <v>0.00013111888111888112</v>
      </c>
      <c r="L43" s="1">
        <f>K43*5</f>
        <v>0.0006555944055944056</v>
      </c>
      <c r="M43" s="1">
        <v>0.54133</v>
      </c>
      <c r="N43" s="1">
        <f t="shared" si="18"/>
        <v>1.0003548929195805</v>
      </c>
      <c r="O43" s="1">
        <f t="shared" si="19"/>
        <v>0.0006553618223238995</v>
      </c>
      <c r="P43" s="1">
        <f>P42-Q42</f>
        <v>99408.21733683869</v>
      </c>
      <c r="Q43" s="1">
        <f t="shared" si="20"/>
        <v>65.14835046784087</v>
      </c>
      <c r="R43" s="1">
        <f t="shared" si="21"/>
        <v>0.45867</v>
      </c>
      <c r="S43" s="1">
        <f>(P43-Q43)*5</f>
        <v>496715.34493185417</v>
      </c>
      <c r="T43" s="1">
        <f>Q43*R43*5</f>
        <v>149.40796954542287</v>
      </c>
      <c r="U43" s="1">
        <f t="shared" si="22"/>
        <v>496864.75290139957</v>
      </c>
      <c r="V43" s="1">
        <f t="shared" si="15"/>
        <v>7860472.621608356</v>
      </c>
      <c r="W43" s="4">
        <f t="shared" si="23"/>
        <v>79.07266453610795</v>
      </c>
      <c r="X43" s="1" t="s">
        <v>19</v>
      </c>
      <c r="Z43"/>
      <c r="AC43" t="s">
        <v>33</v>
      </c>
      <c r="AD43">
        <f t="shared" si="16"/>
        <v>7232</v>
      </c>
      <c r="AE43">
        <f t="shared" si="17"/>
        <v>628</v>
      </c>
      <c r="AF43">
        <f t="shared" si="24"/>
        <v>0.0868362831858407</v>
      </c>
      <c r="AG43">
        <f t="shared" si="25"/>
        <v>0.9131637168141593</v>
      </c>
      <c r="AI43"/>
      <c r="AJ43" t="s">
        <v>55</v>
      </c>
      <c r="AK43">
        <f>P21</f>
        <v>85777.08013712175</v>
      </c>
      <c r="AL43" s="20">
        <f>AN11/AK43</f>
        <v>15.485284962240852</v>
      </c>
      <c r="AM43" s="29" t="s">
        <v>97</v>
      </c>
      <c r="AN43"/>
      <c r="AO43"/>
      <c r="AP43"/>
      <c r="AQ43"/>
      <c r="AR43"/>
      <c r="AS43"/>
      <c r="AT43"/>
      <c r="AU43"/>
      <c r="AV43"/>
      <c r="AW43"/>
      <c r="AX43"/>
    </row>
    <row r="44" spans="3:50" ht="13.5">
      <c r="C44" s="1" t="s">
        <v>20</v>
      </c>
      <c r="D44" s="4">
        <v>15556</v>
      </c>
      <c r="E44" s="9">
        <v>1</v>
      </c>
      <c r="F44" s="15">
        <v>5</v>
      </c>
      <c r="G44" s="15">
        <v>0</v>
      </c>
      <c r="H44" s="15">
        <v>1</v>
      </c>
      <c r="I44" s="11">
        <v>1</v>
      </c>
      <c r="J44" s="1">
        <f t="shared" si="26"/>
        <v>8</v>
      </c>
      <c r="K44" s="1">
        <f t="shared" si="27"/>
        <v>0.00010285420416559527</v>
      </c>
      <c r="L44" s="1">
        <f aca="true" t="shared" si="28" ref="L44:L59">K44*5</f>
        <v>0.0005142710208279763</v>
      </c>
      <c r="M44" s="1">
        <v>0.475</v>
      </c>
      <c r="N44" s="1">
        <f t="shared" si="18"/>
        <v>1.0002442787348933</v>
      </c>
      <c r="O44" s="1">
        <f t="shared" si="19"/>
        <v>0.0005141454260337537</v>
      </c>
      <c r="P44" s="1">
        <f aca="true" t="shared" si="29" ref="P44:P59">P43-Q43</f>
        <v>99343.06898637084</v>
      </c>
      <c r="Q44" s="1">
        <f t="shared" si="20"/>
        <v>51.07678452749822</v>
      </c>
      <c r="R44" s="1">
        <f t="shared" si="21"/>
        <v>0.525</v>
      </c>
      <c r="S44" s="1">
        <f aca="true" t="shared" si="30" ref="S44:S58">(P44-Q44)*5</f>
        <v>496459.9610092167</v>
      </c>
      <c r="T44" s="1">
        <f aca="true" t="shared" si="31" ref="T44:T58">Q44*R44*5</f>
        <v>134.07655938468284</v>
      </c>
      <c r="U44" s="1">
        <f t="shared" si="22"/>
        <v>496594.03756860143</v>
      </c>
      <c r="V44" s="1">
        <f t="shared" si="15"/>
        <v>7363607.8687069565</v>
      </c>
      <c r="W44" s="4">
        <f t="shared" si="23"/>
        <v>74.12301576587282</v>
      </c>
      <c r="X44" s="1" t="s">
        <v>20</v>
      </c>
      <c r="Z44"/>
      <c r="AC44" t="s">
        <v>60</v>
      </c>
      <c r="AD44">
        <f t="shared" si="16"/>
        <v>5084</v>
      </c>
      <c r="AE44">
        <f t="shared" si="17"/>
        <v>675</v>
      </c>
      <c r="AF44">
        <f t="shared" si="24"/>
        <v>0.1327694728560189</v>
      </c>
      <c r="AG44">
        <f t="shared" si="25"/>
        <v>0.8672305271439811</v>
      </c>
      <c r="AI44"/>
      <c r="AJ44" t="s">
        <v>57</v>
      </c>
      <c r="AK44">
        <f>P22</f>
        <v>78704.32211957472</v>
      </c>
      <c r="AL44" s="20">
        <f>AN12/AK44</f>
        <v>11.743988268308907</v>
      </c>
      <c r="AM44" s="30" t="s">
        <v>98</v>
      </c>
      <c r="AN44"/>
      <c r="AO44"/>
      <c r="AP44"/>
      <c r="AQ44"/>
      <c r="AR44"/>
      <c r="AS44"/>
      <c r="AT44"/>
      <c r="AU44"/>
      <c r="AV44"/>
      <c r="AW44"/>
      <c r="AX44"/>
    </row>
    <row r="45" spans="3:50" ht="13.5">
      <c r="C45" s="1" t="s">
        <v>21</v>
      </c>
      <c r="D45" s="4">
        <v>22977</v>
      </c>
      <c r="E45" s="9">
        <v>2</v>
      </c>
      <c r="F45" s="15">
        <v>2</v>
      </c>
      <c r="G45" s="15">
        <v>2</v>
      </c>
      <c r="H45" s="15">
        <v>7</v>
      </c>
      <c r="I45" s="11">
        <v>2</v>
      </c>
      <c r="J45" s="1">
        <f t="shared" si="26"/>
        <v>15</v>
      </c>
      <c r="K45" s="1">
        <f t="shared" si="27"/>
        <v>0.0001305653479566523</v>
      </c>
      <c r="L45" s="1">
        <f t="shared" si="28"/>
        <v>0.0006528267397832616</v>
      </c>
      <c r="M45" s="1">
        <v>0.45714</v>
      </c>
      <c r="N45" s="1">
        <f t="shared" si="18"/>
        <v>1.0002984332158245</v>
      </c>
      <c r="O45" s="1">
        <f t="shared" si="19"/>
        <v>0.0006526319727248914</v>
      </c>
      <c r="P45" s="1">
        <f t="shared" si="29"/>
        <v>99291.99220184334</v>
      </c>
      <c r="Q45" s="1">
        <f t="shared" si="20"/>
        <v>64.80112874647355</v>
      </c>
      <c r="R45" s="1">
        <f t="shared" si="21"/>
        <v>0.54286</v>
      </c>
      <c r="S45" s="1">
        <f t="shared" si="30"/>
        <v>496135.95536548435</v>
      </c>
      <c r="T45" s="1">
        <f t="shared" si="31"/>
        <v>175.8897037565532</v>
      </c>
      <c r="U45" s="1">
        <f t="shared" si="22"/>
        <v>496311.8450692409</v>
      </c>
      <c r="V45" s="1">
        <f t="shared" si="15"/>
        <v>6867013.831138355</v>
      </c>
      <c r="W45" s="4">
        <f t="shared" si="23"/>
        <v>69.15979505355186</v>
      </c>
      <c r="X45" s="1" t="s">
        <v>21</v>
      </c>
      <c r="Z45"/>
      <c r="AC45" t="s">
        <v>61</v>
      </c>
      <c r="AD45">
        <f t="shared" si="16"/>
        <v>3350</v>
      </c>
      <c r="AE45">
        <f t="shared" si="17"/>
        <v>1266</v>
      </c>
      <c r="AF45">
        <f t="shared" si="24"/>
        <v>0.37791044776119403</v>
      </c>
      <c r="AG45">
        <f t="shared" si="25"/>
        <v>0.6220895522388059</v>
      </c>
      <c r="AI45"/>
      <c r="AJ45" t="s">
        <v>59</v>
      </c>
      <c r="AK45">
        <f>P23</f>
        <v>68377.58475147099</v>
      </c>
      <c r="AL45" s="20">
        <f>AN13/AK45</f>
        <v>8.360597582134131</v>
      </c>
      <c r="AM45" s="30" t="s">
        <v>99</v>
      </c>
      <c r="AN45"/>
      <c r="AO45"/>
      <c r="AP45"/>
      <c r="AQ45"/>
      <c r="AR45"/>
      <c r="AS45"/>
      <c r="AT45"/>
      <c r="AU45"/>
      <c r="AV45"/>
      <c r="AW45"/>
      <c r="AX45"/>
    </row>
    <row r="46" spans="3:50" ht="14.25" thickBot="1">
      <c r="C46" s="1" t="s">
        <v>22</v>
      </c>
      <c r="D46" s="4">
        <v>43001</v>
      </c>
      <c r="E46" s="9">
        <v>9</v>
      </c>
      <c r="F46" s="15">
        <v>7</v>
      </c>
      <c r="G46" s="15">
        <v>7</v>
      </c>
      <c r="H46" s="15">
        <v>10</v>
      </c>
      <c r="I46" s="11">
        <v>5</v>
      </c>
      <c r="J46" s="1">
        <f t="shared" si="26"/>
        <v>38</v>
      </c>
      <c r="K46" s="1">
        <f t="shared" si="27"/>
        <v>0.00017674007581219042</v>
      </c>
      <c r="L46" s="1">
        <f t="shared" si="28"/>
        <v>0.0008837003790609521</v>
      </c>
      <c r="M46" s="1">
        <v>0.50135</v>
      </c>
      <c r="N46" s="1">
        <f t="shared" si="18"/>
        <v>1.0004430431850422</v>
      </c>
      <c r="O46" s="1">
        <f t="shared" si="19"/>
        <v>0.0008833090350127035</v>
      </c>
      <c r="P46" s="1">
        <f t="shared" si="29"/>
        <v>99227.19107309687</v>
      </c>
      <c r="Q46" s="1">
        <f t="shared" si="20"/>
        <v>87.64827439379835</v>
      </c>
      <c r="R46" s="1">
        <f t="shared" si="21"/>
        <v>0.49865000000000004</v>
      </c>
      <c r="S46" s="1">
        <f t="shared" si="30"/>
        <v>495697.71399351535</v>
      </c>
      <c r="T46" s="1">
        <f t="shared" si="31"/>
        <v>218.52906013233775</v>
      </c>
      <c r="U46" s="1">
        <f t="shared" si="22"/>
        <v>495916.2430536477</v>
      </c>
      <c r="V46" s="1">
        <f t="shared" si="15"/>
        <v>6370701.986069114</v>
      </c>
      <c r="W46" s="4">
        <f t="shared" si="23"/>
        <v>64.20318782757906</v>
      </c>
      <c r="X46" s="1" t="s">
        <v>22</v>
      </c>
      <c r="Z46"/>
      <c r="AC46" t="s">
        <v>62</v>
      </c>
      <c r="AD46">
        <f t="shared" si="16"/>
        <v>0</v>
      </c>
      <c r="AE46">
        <f t="shared" si="17"/>
        <v>0</v>
      </c>
      <c r="AF46" t="e">
        <f t="shared" si="24"/>
        <v>#DIV/0!</v>
      </c>
      <c r="AG46" t="e">
        <f t="shared" si="25"/>
        <v>#DIV/0!</v>
      </c>
      <c r="AI46"/>
      <c r="AJ46" t="s">
        <v>102</v>
      </c>
      <c r="AK46">
        <f>P24</f>
        <v>52668.42206616858</v>
      </c>
      <c r="AL46" s="23">
        <f>AN14/AK46</f>
        <v>5.5762886271504515</v>
      </c>
      <c r="AM46" s="31" t="s">
        <v>103</v>
      </c>
      <c r="AN46"/>
      <c r="AO46"/>
      <c r="AP46"/>
      <c r="AQ46"/>
      <c r="AR46"/>
      <c r="AS46"/>
      <c r="AT46"/>
      <c r="AU46"/>
      <c r="AV46"/>
      <c r="AW46"/>
      <c r="AX46"/>
    </row>
    <row r="47" spans="3:50" ht="13.5">
      <c r="C47" s="1" t="s">
        <v>23</v>
      </c>
      <c r="D47" s="4">
        <v>40069</v>
      </c>
      <c r="E47" s="9">
        <v>11</v>
      </c>
      <c r="F47" s="15">
        <v>14</v>
      </c>
      <c r="G47" s="15">
        <v>14</v>
      </c>
      <c r="H47" s="15">
        <v>7</v>
      </c>
      <c r="I47" s="11">
        <v>5</v>
      </c>
      <c r="J47" s="1">
        <f t="shared" si="26"/>
        <v>51</v>
      </c>
      <c r="K47" s="1">
        <f t="shared" si="27"/>
        <v>0.0002545608824777259</v>
      </c>
      <c r="L47" s="1">
        <f t="shared" si="28"/>
        <v>0.0012728044123886295</v>
      </c>
      <c r="M47" s="1">
        <v>0.47665</v>
      </c>
      <c r="N47" s="1">
        <f t="shared" si="18"/>
        <v>1.000606682223165</v>
      </c>
      <c r="O47" s="1">
        <f t="shared" si="19"/>
        <v>0.0012720326927666433</v>
      </c>
      <c r="P47" s="1">
        <f t="shared" si="29"/>
        <v>99139.54279870307</v>
      </c>
      <c r="Q47" s="1">
        <f t="shared" si="20"/>
        <v>126.10873958588815</v>
      </c>
      <c r="R47" s="1">
        <f t="shared" si="21"/>
        <v>0.52335</v>
      </c>
      <c r="S47" s="1">
        <f t="shared" si="30"/>
        <v>495067.1702955859</v>
      </c>
      <c r="T47" s="1">
        <f t="shared" si="31"/>
        <v>329.9950443113728</v>
      </c>
      <c r="U47" s="1">
        <f t="shared" si="22"/>
        <v>495397.16533989727</v>
      </c>
      <c r="V47" s="1">
        <f t="shared" si="15"/>
        <v>5874785.743015466</v>
      </c>
      <c r="W47" s="4">
        <f t="shared" si="23"/>
        <v>59.25774496402377</v>
      </c>
      <c r="X47" s="1" t="s">
        <v>23</v>
      </c>
      <c r="Z47"/>
      <c r="AC47" t="s">
        <v>112</v>
      </c>
      <c r="AD47">
        <f t="shared" si="16"/>
        <v>0</v>
      </c>
      <c r="AE47">
        <f t="shared" si="17"/>
        <v>0</v>
      </c>
      <c r="AF47" t="e">
        <f t="shared" si="24"/>
        <v>#DIV/0!</v>
      </c>
      <c r="AG47" t="e">
        <f t="shared" si="25"/>
        <v>#DIV/0!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3:50" ht="13.5">
      <c r="C48" s="1" t="s">
        <v>24</v>
      </c>
      <c r="D48" s="4">
        <v>33364</v>
      </c>
      <c r="E48" s="9">
        <v>11</v>
      </c>
      <c r="F48" s="15">
        <v>10</v>
      </c>
      <c r="G48" s="15">
        <v>12</v>
      </c>
      <c r="H48" s="15">
        <v>14</v>
      </c>
      <c r="I48" s="11">
        <v>11</v>
      </c>
      <c r="J48" s="1">
        <f t="shared" si="26"/>
        <v>58</v>
      </c>
      <c r="K48" s="1">
        <f t="shared" si="27"/>
        <v>0.00034768013427646566</v>
      </c>
      <c r="L48" s="1">
        <f t="shared" si="28"/>
        <v>0.0017384006713823284</v>
      </c>
      <c r="M48" s="1">
        <v>0.47074</v>
      </c>
      <c r="N48" s="1">
        <f t="shared" si="18"/>
        <v>1.0008183347320465</v>
      </c>
      <c r="O48" s="1">
        <f t="shared" si="19"/>
        <v>0.001736979240940623</v>
      </c>
      <c r="P48" s="1">
        <f t="shared" si="29"/>
        <v>99013.43405911718</v>
      </c>
      <c r="Q48" s="1">
        <f t="shared" si="20"/>
        <v>171.98427953492978</v>
      </c>
      <c r="R48" s="1">
        <f t="shared" si="21"/>
        <v>0.5292600000000001</v>
      </c>
      <c r="S48" s="1">
        <f t="shared" si="30"/>
        <v>494207.2488979113</v>
      </c>
      <c r="T48" s="1">
        <f t="shared" si="31"/>
        <v>455.1219989332847</v>
      </c>
      <c r="U48" s="1">
        <f t="shared" si="22"/>
        <v>494662.37089684454</v>
      </c>
      <c r="V48" s="1">
        <f t="shared" si="15"/>
        <v>5379388.577675569</v>
      </c>
      <c r="W48" s="4">
        <f t="shared" si="23"/>
        <v>54.32988592703228</v>
      </c>
      <c r="X48" s="1" t="s">
        <v>24</v>
      </c>
      <c r="Z48"/>
      <c r="AC48" t="s">
        <v>64</v>
      </c>
      <c r="AD48">
        <f t="shared" si="16"/>
        <v>0</v>
      </c>
      <c r="AE48">
        <f t="shared" si="17"/>
        <v>0</v>
      </c>
      <c r="AF48" t="e">
        <f t="shared" si="24"/>
        <v>#DIV/0!</v>
      </c>
      <c r="AG48" t="e">
        <f t="shared" si="25"/>
        <v>#DIV/0!</v>
      </c>
      <c r="AI48"/>
      <c r="AJ48"/>
      <c r="AK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3:50" ht="13.5">
      <c r="C49" s="1" t="s">
        <v>25</v>
      </c>
      <c r="D49" s="4">
        <v>26534</v>
      </c>
      <c r="E49" s="9">
        <v>11</v>
      </c>
      <c r="F49" s="15">
        <v>14</v>
      </c>
      <c r="G49" s="15">
        <v>11</v>
      </c>
      <c r="H49" s="15">
        <v>20</v>
      </c>
      <c r="I49" s="11">
        <v>16</v>
      </c>
      <c r="J49" s="1">
        <f t="shared" si="26"/>
        <v>72</v>
      </c>
      <c r="K49" s="1">
        <f t="shared" si="27"/>
        <v>0.0005426999321625085</v>
      </c>
      <c r="L49" s="1">
        <f t="shared" si="28"/>
        <v>0.0027134996608125426</v>
      </c>
      <c r="M49" s="1">
        <v>0.46454</v>
      </c>
      <c r="N49" s="1">
        <f t="shared" si="18"/>
        <v>1.001260529132434</v>
      </c>
      <c r="O49" s="1">
        <f t="shared" si="19"/>
        <v>0.002710083521582259</v>
      </c>
      <c r="P49" s="1">
        <f t="shared" si="29"/>
        <v>98841.44977958225</v>
      </c>
      <c r="Q49" s="1">
        <f t="shared" si="20"/>
        <v>267.86858429694627</v>
      </c>
      <c r="R49" s="1">
        <f t="shared" si="21"/>
        <v>0.53546</v>
      </c>
      <c r="S49" s="1">
        <f t="shared" si="30"/>
        <v>492867.90597642655</v>
      </c>
      <c r="T49" s="1">
        <f t="shared" si="31"/>
        <v>717.1645607382143</v>
      </c>
      <c r="U49" s="1">
        <f t="shared" si="22"/>
        <v>493585.07053716475</v>
      </c>
      <c r="V49" s="1">
        <f t="shared" si="15"/>
        <v>4884726.206778725</v>
      </c>
      <c r="W49" s="4">
        <f t="shared" si="23"/>
        <v>49.419815448597014</v>
      </c>
      <c r="X49" s="1" t="s">
        <v>25</v>
      </c>
      <c r="Z49"/>
      <c r="AC49" t="s">
        <v>51</v>
      </c>
      <c r="AD49">
        <f t="shared" si="16"/>
        <v>43005</v>
      </c>
      <c r="AE49">
        <f t="shared" si="17"/>
        <v>3389</v>
      </c>
      <c r="AF49">
        <f t="shared" si="24"/>
        <v>0.07880479014068131</v>
      </c>
      <c r="AG49">
        <f t="shared" si="25"/>
        <v>0.9211952098593187</v>
      </c>
      <c r="AI49"/>
      <c r="AJ49"/>
      <c r="AK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3:50" ht="13.5">
      <c r="C50" s="1" t="s">
        <v>26</v>
      </c>
      <c r="D50" s="4">
        <v>25050</v>
      </c>
      <c r="E50" s="9">
        <v>19</v>
      </c>
      <c r="F50" s="15">
        <v>25</v>
      </c>
      <c r="G50" s="15">
        <v>34</v>
      </c>
      <c r="H50" s="15">
        <v>21</v>
      </c>
      <c r="I50" s="11">
        <v>14</v>
      </c>
      <c r="J50" s="1">
        <f t="shared" si="26"/>
        <v>113</v>
      </c>
      <c r="K50" s="1">
        <f t="shared" si="27"/>
        <v>0.0009021956087824351</v>
      </c>
      <c r="L50" s="1">
        <f t="shared" si="28"/>
        <v>0.004510978043912176</v>
      </c>
      <c r="M50" s="1">
        <v>0.45927</v>
      </c>
      <c r="N50" s="1">
        <f t="shared" si="18"/>
        <v>1.0020717568862276</v>
      </c>
      <c r="O50" s="1">
        <f t="shared" si="19"/>
        <v>0.004501651715970216</v>
      </c>
      <c r="P50" s="1">
        <f t="shared" si="29"/>
        <v>98573.58119528531</v>
      </c>
      <c r="Q50" s="1">
        <f t="shared" si="20"/>
        <v>443.74393093708557</v>
      </c>
      <c r="R50" s="1">
        <f t="shared" si="21"/>
        <v>0.5407299999999999</v>
      </c>
      <c r="S50" s="1">
        <f t="shared" si="30"/>
        <v>490649.18632174114</v>
      </c>
      <c r="T50" s="1">
        <f t="shared" si="31"/>
        <v>1199.7282788780512</v>
      </c>
      <c r="U50" s="1">
        <f t="shared" si="22"/>
        <v>491848.9146006192</v>
      </c>
      <c r="V50" s="1">
        <f t="shared" si="15"/>
        <v>4391141.13624156</v>
      </c>
      <c r="W50" s="4">
        <f t="shared" si="23"/>
        <v>44.54683580524702</v>
      </c>
      <c r="X50" s="1" t="s">
        <v>26</v>
      </c>
      <c r="Z50"/>
      <c r="AC50" t="s">
        <v>100</v>
      </c>
      <c r="AD50">
        <f t="shared" si="16"/>
        <v>3350</v>
      </c>
      <c r="AE50">
        <f t="shared" si="17"/>
        <v>1266</v>
      </c>
      <c r="AF50">
        <f t="shared" si="24"/>
        <v>0.37791044776119403</v>
      </c>
      <c r="AG50">
        <f t="shared" si="25"/>
        <v>0.6220895522388059</v>
      </c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3:50" ht="13.5">
      <c r="C51" s="1" t="s">
        <v>27</v>
      </c>
      <c r="D51" s="4">
        <v>30866</v>
      </c>
      <c r="E51" s="9">
        <v>42</v>
      </c>
      <c r="F51" s="15">
        <v>36</v>
      </c>
      <c r="G51" s="15">
        <v>40</v>
      </c>
      <c r="H51" s="15">
        <v>41</v>
      </c>
      <c r="I51" s="11">
        <v>51</v>
      </c>
      <c r="J51" s="1">
        <f t="shared" si="26"/>
        <v>210</v>
      </c>
      <c r="K51" s="1">
        <f t="shared" si="27"/>
        <v>0.001360720533920819</v>
      </c>
      <c r="L51" s="1">
        <f t="shared" si="28"/>
        <v>0.006803602669604095</v>
      </c>
      <c r="M51" s="1">
        <v>0.46421</v>
      </c>
      <c r="N51" s="1">
        <f t="shared" si="18"/>
        <v>1.0031583003952569</v>
      </c>
      <c r="O51" s="1">
        <f t="shared" si="19"/>
        <v>0.00678218249993385</v>
      </c>
      <c r="P51" s="1">
        <f t="shared" si="29"/>
        <v>98129.83726434823</v>
      </c>
      <c r="Q51" s="1">
        <f t="shared" si="20"/>
        <v>665.5344650156192</v>
      </c>
      <c r="R51" s="1">
        <f t="shared" si="21"/>
        <v>0.53579</v>
      </c>
      <c r="S51" s="1">
        <f t="shared" si="30"/>
        <v>487321.51399666304</v>
      </c>
      <c r="T51" s="1">
        <f t="shared" si="31"/>
        <v>1782.933555053593</v>
      </c>
      <c r="U51" s="1">
        <f t="shared" si="22"/>
        <v>489104.44755171664</v>
      </c>
      <c r="V51" s="1">
        <f t="shared" si="15"/>
        <v>3899292.2216409408</v>
      </c>
      <c r="W51" s="4">
        <f t="shared" si="23"/>
        <v>39.7360510354948</v>
      </c>
      <c r="X51" s="1" t="s">
        <v>27</v>
      </c>
      <c r="Z51"/>
      <c r="AC51"/>
      <c r="AD51"/>
      <c r="AE51"/>
      <c r="AF51"/>
      <c r="AG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3:50" ht="13.5">
      <c r="C52" s="1" t="s">
        <v>28</v>
      </c>
      <c r="D52" s="4">
        <v>26735</v>
      </c>
      <c r="E52" s="9">
        <v>54</v>
      </c>
      <c r="F52" s="15">
        <v>64</v>
      </c>
      <c r="G52" s="15">
        <v>63</v>
      </c>
      <c r="H52" s="15">
        <v>55</v>
      </c>
      <c r="I52" s="11">
        <v>70</v>
      </c>
      <c r="J52" s="1">
        <f t="shared" si="26"/>
        <v>306</v>
      </c>
      <c r="K52" s="1">
        <f t="shared" si="27"/>
        <v>0.002289134093884421</v>
      </c>
      <c r="L52" s="1">
        <f t="shared" si="28"/>
        <v>0.011445670469422105</v>
      </c>
      <c r="M52" s="1">
        <v>0.47032</v>
      </c>
      <c r="N52" s="1">
        <f t="shared" si="18"/>
        <v>1.0053831277351786</v>
      </c>
      <c r="O52" s="1">
        <f t="shared" si="19"/>
        <v>0.011384386860763923</v>
      </c>
      <c r="P52" s="1">
        <f t="shared" si="29"/>
        <v>97464.30279933261</v>
      </c>
      <c r="Q52" s="1">
        <f t="shared" si="20"/>
        <v>1109.5713281822386</v>
      </c>
      <c r="R52" s="1">
        <f t="shared" si="21"/>
        <v>0.5296799999999999</v>
      </c>
      <c r="S52" s="1">
        <f t="shared" si="30"/>
        <v>481773.65735575184</v>
      </c>
      <c r="T52" s="1">
        <f t="shared" si="31"/>
        <v>2938.5887055578405</v>
      </c>
      <c r="U52" s="1">
        <f t="shared" si="22"/>
        <v>484712.2460613097</v>
      </c>
      <c r="V52" s="1">
        <f t="shared" si="15"/>
        <v>3410187.774089224</v>
      </c>
      <c r="W52" s="4">
        <f t="shared" si="23"/>
        <v>34.98909524967715</v>
      </c>
      <c r="X52" s="1" t="s">
        <v>28</v>
      </c>
      <c r="Z52"/>
      <c r="AC52" t="s">
        <v>90</v>
      </c>
      <c r="AD52"/>
      <c r="AE52"/>
      <c r="AF52"/>
      <c r="AG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3:50" ht="13.5">
      <c r="C53" s="1" t="s">
        <v>29</v>
      </c>
      <c r="D53" s="4">
        <v>24228</v>
      </c>
      <c r="E53" s="9">
        <v>96</v>
      </c>
      <c r="F53" s="15">
        <v>71</v>
      </c>
      <c r="G53" s="15">
        <v>83</v>
      </c>
      <c r="H53" s="15">
        <v>76</v>
      </c>
      <c r="I53" s="11">
        <v>73</v>
      </c>
      <c r="J53" s="1">
        <f t="shared" si="26"/>
        <v>399</v>
      </c>
      <c r="K53" s="1">
        <f t="shared" si="27"/>
        <v>0.003293709757305597</v>
      </c>
      <c r="L53" s="1">
        <f t="shared" si="28"/>
        <v>0.016468548786527985</v>
      </c>
      <c r="M53" s="1">
        <v>0.46897</v>
      </c>
      <c r="N53" s="1">
        <f t="shared" si="18"/>
        <v>1.007723255324418</v>
      </c>
      <c r="O53" s="1">
        <f t="shared" si="19"/>
        <v>0.016342332777887752</v>
      </c>
      <c r="P53" s="1">
        <f t="shared" si="29"/>
        <v>96354.73147115037</v>
      </c>
      <c r="Q53" s="1">
        <f t="shared" si="20"/>
        <v>1574.6610864255533</v>
      </c>
      <c r="R53" s="1">
        <f t="shared" si="21"/>
        <v>0.53103</v>
      </c>
      <c r="S53" s="1">
        <f t="shared" si="30"/>
        <v>473900.3519236241</v>
      </c>
      <c r="T53" s="1">
        <f t="shared" si="31"/>
        <v>4180.961383622808</v>
      </c>
      <c r="U53" s="1">
        <f t="shared" si="22"/>
        <v>478081.3133072469</v>
      </c>
      <c r="V53" s="1">
        <f t="shared" si="15"/>
        <v>2925475.5280279145</v>
      </c>
      <c r="W53" s="4">
        <f t="shared" si="23"/>
        <v>30.361513994814388</v>
      </c>
      <c r="X53" s="1" t="s">
        <v>29</v>
      </c>
      <c r="Z53"/>
      <c r="AC53" t="s">
        <v>86</v>
      </c>
      <c r="AD53"/>
      <c r="AE53"/>
      <c r="AF53"/>
      <c r="AG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3:50" ht="13.5">
      <c r="C54" s="1" t="s">
        <v>30</v>
      </c>
      <c r="D54" s="4">
        <v>22918</v>
      </c>
      <c r="E54" s="9">
        <v>113</v>
      </c>
      <c r="F54" s="15">
        <v>122</v>
      </c>
      <c r="G54" s="15">
        <v>108</v>
      </c>
      <c r="H54" s="15">
        <v>124</v>
      </c>
      <c r="I54" s="11">
        <v>109</v>
      </c>
      <c r="J54" s="1">
        <f t="shared" si="26"/>
        <v>576</v>
      </c>
      <c r="K54" s="1">
        <f t="shared" si="27"/>
        <v>0.005026616633214067</v>
      </c>
      <c r="L54" s="1">
        <f t="shared" si="28"/>
        <v>0.02513308316607034</v>
      </c>
      <c r="M54" s="1">
        <v>0.4656</v>
      </c>
      <c r="N54" s="1">
        <f t="shared" si="18"/>
        <v>1.0117019635221223</v>
      </c>
      <c r="O54" s="1">
        <f t="shared" si="19"/>
        <v>0.024842378558377454</v>
      </c>
      <c r="P54" s="1">
        <f t="shared" si="29"/>
        <v>94780.07038472482</v>
      </c>
      <c r="Q54" s="1">
        <f t="shared" si="20"/>
        <v>2354.5623882869936</v>
      </c>
      <c r="R54" s="1">
        <f t="shared" si="21"/>
        <v>0.5344</v>
      </c>
      <c r="S54" s="1">
        <f t="shared" si="30"/>
        <v>462127.53998218913</v>
      </c>
      <c r="T54" s="1">
        <f t="shared" si="31"/>
        <v>6291.390701502846</v>
      </c>
      <c r="U54" s="1">
        <f t="shared" si="22"/>
        <v>468418.930683692</v>
      </c>
      <c r="V54" s="1">
        <f t="shared" si="15"/>
        <v>2447394.2147206673</v>
      </c>
      <c r="W54" s="4">
        <f t="shared" si="23"/>
        <v>25.821823140522802</v>
      </c>
      <c r="X54" s="1" t="s">
        <v>30</v>
      </c>
      <c r="Z54"/>
      <c r="AC54" t="s">
        <v>48</v>
      </c>
      <c r="AD54" t="s">
        <v>72</v>
      </c>
      <c r="AE54" t="s">
        <v>73</v>
      </c>
      <c r="AF54" t="s">
        <v>70</v>
      </c>
      <c r="AG54" t="s">
        <v>74</v>
      </c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3:50" ht="13.5">
      <c r="C55" s="1" t="s">
        <v>31</v>
      </c>
      <c r="D55" s="4">
        <v>19895</v>
      </c>
      <c r="E55" s="9">
        <v>148</v>
      </c>
      <c r="F55" s="15">
        <v>134</v>
      </c>
      <c r="G55" s="15">
        <v>152</v>
      </c>
      <c r="H55" s="15">
        <v>145</v>
      </c>
      <c r="I55" s="11">
        <v>166</v>
      </c>
      <c r="J55" s="1">
        <f t="shared" si="26"/>
        <v>745</v>
      </c>
      <c r="K55" s="1">
        <f t="shared" si="27"/>
        <v>0.007489318924352853</v>
      </c>
      <c r="L55" s="1">
        <f t="shared" si="28"/>
        <v>0.037446594621764265</v>
      </c>
      <c r="M55" s="1">
        <v>0.4631</v>
      </c>
      <c r="N55" s="1">
        <f t="shared" si="18"/>
        <v>1.017341517969339</v>
      </c>
      <c r="O55" s="1">
        <f t="shared" si="19"/>
        <v>0.03680828311864182</v>
      </c>
      <c r="P55" s="1">
        <f t="shared" si="29"/>
        <v>92425.50799643782</v>
      </c>
      <c r="Q55" s="1">
        <f t="shared" si="20"/>
        <v>3402.024265717177</v>
      </c>
      <c r="R55" s="1">
        <f t="shared" si="21"/>
        <v>0.5368999999999999</v>
      </c>
      <c r="S55" s="1">
        <f t="shared" si="30"/>
        <v>445117.41865360324</v>
      </c>
      <c r="T55" s="1">
        <f t="shared" si="31"/>
        <v>9132.734141317762</v>
      </c>
      <c r="U55" s="1">
        <f t="shared" si="22"/>
        <v>454250.152794921</v>
      </c>
      <c r="V55" s="1">
        <f t="shared" si="15"/>
        <v>1978975.2840369754</v>
      </c>
      <c r="W55" s="4">
        <f t="shared" si="23"/>
        <v>21.411570538657436</v>
      </c>
      <c r="X55" s="1" t="s">
        <v>31</v>
      </c>
      <c r="Z55"/>
      <c r="AC55" t="s">
        <v>31</v>
      </c>
      <c r="AD55">
        <f aca="true" t="shared" si="32" ref="AD55:AD64">AE11</f>
        <v>19895</v>
      </c>
      <c r="AE55">
        <f aca="true" t="shared" si="33" ref="AE55:AE64">AE25</f>
        <v>403</v>
      </c>
      <c r="AF55">
        <f>AE55/AD55</f>
        <v>0.02025634581553154</v>
      </c>
      <c r="AG55">
        <f>1-AF55</f>
        <v>0.9797436541844684</v>
      </c>
      <c r="AI55"/>
      <c r="AJ55" t="s">
        <v>66</v>
      </c>
      <c r="AK55" t="s">
        <v>91</v>
      </c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3:50" ht="14.25" thickBot="1">
      <c r="C56" s="1" t="s">
        <v>32</v>
      </c>
      <c r="D56" s="4">
        <v>15759</v>
      </c>
      <c r="E56" s="9">
        <v>210</v>
      </c>
      <c r="F56" s="15">
        <v>227</v>
      </c>
      <c r="G56" s="15">
        <v>228</v>
      </c>
      <c r="H56" s="15">
        <v>219</v>
      </c>
      <c r="I56" s="11">
        <v>206</v>
      </c>
      <c r="J56" s="1">
        <f t="shared" si="26"/>
        <v>1090</v>
      </c>
      <c r="K56" s="1">
        <f t="shared" si="27"/>
        <v>0.01383336506123485</v>
      </c>
      <c r="L56" s="1">
        <f t="shared" si="28"/>
        <v>0.06916682530617425</v>
      </c>
      <c r="M56" s="1">
        <v>0.45515</v>
      </c>
      <c r="N56" s="1">
        <f t="shared" si="18"/>
        <v>1.0314812805381053</v>
      </c>
      <c r="O56" s="1">
        <f t="shared" si="19"/>
        <v>0.06705582215713228</v>
      </c>
      <c r="P56" s="1">
        <f t="shared" si="29"/>
        <v>89023.48373072065</v>
      </c>
      <c r="Q56" s="1">
        <f t="shared" si="20"/>
        <v>5969.542892855563</v>
      </c>
      <c r="R56" s="1">
        <f t="shared" si="21"/>
        <v>0.5448500000000001</v>
      </c>
      <c r="S56" s="1">
        <f t="shared" si="30"/>
        <v>415269.70418932545</v>
      </c>
      <c r="T56" s="1">
        <f t="shared" si="31"/>
        <v>16262.52722586177</v>
      </c>
      <c r="U56" s="1">
        <f t="shared" si="22"/>
        <v>431532.23141518724</v>
      </c>
      <c r="V56" s="1">
        <f t="shared" si="15"/>
        <v>1524725.1312420543</v>
      </c>
      <c r="W56" s="4">
        <f t="shared" si="23"/>
        <v>17.127223821683522</v>
      </c>
      <c r="X56" s="1" t="s">
        <v>32</v>
      </c>
      <c r="Z56"/>
      <c r="AC56" t="s">
        <v>32</v>
      </c>
      <c r="AD56">
        <f t="shared" si="32"/>
        <v>15759</v>
      </c>
      <c r="AE56">
        <f t="shared" si="33"/>
        <v>857</v>
      </c>
      <c r="AF56">
        <f aca="true" t="shared" si="34" ref="AF56:AF64">AE56/AD56</f>
        <v>0.05438162319944159</v>
      </c>
      <c r="AG56">
        <f aca="true" t="shared" si="35" ref="AG56:AG64">1-AF56</f>
        <v>0.9456183768005584</v>
      </c>
      <c r="AI56"/>
      <c r="AJ56"/>
      <c r="AK56" t="s">
        <v>92</v>
      </c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3:50" ht="14.25" thickBot="1">
      <c r="C57" s="1" t="s">
        <v>33</v>
      </c>
      <c r="D57" s="4">
        <v>10948</v>
      </c>
      <c r="E57" s="9">
        <v>281</v>
      </c>
      <c r="F57" s="15">
        <v>253</v>
      </c>
      <c r="G57" s="15">
        <v>301</v>
      </c>
      <c r="H57" s="15">
        <v>288</v>
      </c>
      <c r="I57" s="11">
        <v>283</v>
      </c>
      <c r="J57" s="1">
        <f t="shared" si="26"/>
        <v>1406</v>
      </c>
      <c r="K57" s="1">
        <f t="shared" si="27"/>
        <v>0.02568505663134819</v>
      </c>
      <c r="L57" s="1">
        <f t="shared" si="28"/>
        <v>0.12842528315674095</v>
      </c>
      <c r="M57" s="1">
        <v>0.45858</v>
      </c>
      <c r="N57" s="1">
        <f t="shared" si="18"/>
        <v>1.0588932663500183</v>
      </c>
      <c r="O57" s="1">
        <f t="shared" si="19"/>
        <v>0.12128255721128539</v>
      </c>
      <c r="P57" s="1">
        <f t="shared" si="29"/>
        <v>83053.94083786508</v>
      </c>
      <c r="Q57" s="1">
        <f t="shared" si="20"/>
        <v>10072.994331291084</v>
      </c>
      <c r="R57" s="1">
        <f t="shared" si="21"/>
        <v>0.54142</v>
      </c>
      <c r="S57" s="1">
        <f t="shared" si="30"/>
        <v>364904.73253286997</v>
      </c>
      <c r="T57" s="1">
        <f t="shared" si="31"/>
        <v>27268.602954238093</v>
      </c>
      <c r="U57" s="1">
        <f t="shared" si="22"/>
        <v>392173.33548710804</v>
      </c>
      <c r="V57" s="1">
        <f t="shared" si="15"/>
        <v>1093192.899826867</v>
      </c>
      <c r="W57" s="4">
        <f t="shared" si="23"/>
        <v>13.162444657032697</v>
      </c>
      <c r="X57" s="1" t="s">
        <v>33</v>
      </c>
      <c r="Z57"/>
      <c r="AC57" t="s">
        <v>33</v>
      </c>
      <c r="AD57">
        <f t="shared" si="32"/>
        <v>10948</v>
      </c>
      <c r="AE57">
        <f t="shared" si="33"/>
        <v>1562</v>
      </c>
      <c r="AF57">
        <f t="shared" si="34"/>
        <v>0.14267446108878334</v>
      </c>
      <c r="AG57">
        <f t="shared" si="35"/>
        <v>0.8573255389112167</v>
      </c>
      <c r="AI57"/>
      <c r="AJ57" t="s">
        <v>50</v>
      </c>
      <c r="AK57" s="16" t="s">
        <v>43</v>
      </c>
      <c r="AL57" s="29" t="s">
        <v>53</v>
      </c>
      <c r="AM57" s="21"/>
      <c r="AN57"/>
      <c r="AO57"/>
      <c r="AP57"/>
      <c r="AQ57"/>
      <c r="AR57"/>
      <c r="AS57"/>
      <c r="AT57"/>
      <c r="AU57"/>
      <c r="AV57"/>
      <c r="AW57"/>
      <c r="AX57"/>
    </row>
    <row r="58" spans="3:50" ht="13.5">
      <c r="C58" s="1" t="s">
        <v>60</v>
      </c>
      <c r="D58" s="4">
        <v>8144</v>
      </c>
      <c r="E58" s="9">
        <v>425</v>
      </c>
      <c r="F58" s="15">
        <v>385</v>
      </c>
      <c r="G58" s="15">
        <v>430</v>
      </c>
      <c r="H58" s="15">
        <v>364</v>
      </c>
      <c r="I58" s="11">
        <v>364</v>
      </c>
      <c r="J58" s="1">
        <f t="shared" si="26"/>
        <v>1968</v>
      </c>
      <c r="K58" s="1">
        <f t="shared" si="27"/>
        <v>0.04833005893909627</v>
      </c>
      <c r="L58" s="1">
        <f t="shared" si="28"/>
        <v>0.24165029469548133</v>
      </c>
      <c r="M58" s="1">
        <v>0.46786</v>
      </c>
      <c r="N58" s="1">
        <f t="shared" si="18"/>
        <v>1.113058506876228</v>
      </c>
      <c r="O58" s="1">
        <f t="shared" si="19"/>
        <v>0.2171047552330983</v>
      </c>
      <c r="P58" s="1">
        <f t="shared" si="29"/>
        <v>72980.946506574</v>
      </c>
      <c r="Q58" s="1">
        <f t="shared" si="20"/>
        <v>15844.510527989587</v>
      </c>
      <c r="R58" s="1">
        <f t="shared" si="21"/>
        <v>0.5321400000000001</v>
      </c>
      <c r="S58" s="1">
        <f t="shared" si="30"/>
        <v>285682.17989292205</v>
      </c>
      <c r="T58" s="1">
        <f t="shared" si="31"/>
        <v>42157.4891618219</v>
      </c>
      <c r="U58" s="1">
        <f t="shared" si="22"/>
        <v>327839.66905474395</v>
      </c>
      <c r="V58" s="1">
        <f>V59+U58</f>
        <v>701019.5643397591</v>
      </c>
      <c r="W58" s="4">
        <f t="shared" si="23"/>
        <v>9.605514834979736</v>
      </c>
      <c r="X58" s="1" t="s">
        <v>60</v>
      </c>
      <c r="Z58"/>
      <c r="AC58" t="s">
        <v>60</v>
      </c>
      <c r="AD58">
        <f t="shared" si="32"/>
        <v>8144</v>
      </c>
      <c r="AE58">
        <f t="shared" si="33"/>
        <v>2081</v>
      </c>
      <c r="AF58">
        <f t="shared" si="34"/>
        <v>0.2555255402750491</v>
      </c>
      <c r="AG58">
        <f t="shared" si="35"/>
        <v>0.7444744597249509</v>
      </c>
      <c r="AI58"/>
      <c r="AJ58" t="s">
        <v>55</v>
      </c>
      <c r="AK58">
        <f>P55</f>
        <v>92425.50799643782</v>
      </c>
      <c r="AL58" s="30">
        <f>AN26/AK58</f>
        <v>16.93620240926819</v>
      </c>
      <c r="AM58" s="29" t="s">
        <v>97</v>
      </c>
      <c r="AN58"/>
      <c r="AO58"/>
      <c r="AP58"/>
      <c r="AQ58"/>
      <c r="AR58"/>
      <c r="AS58"/>
      <c r="AT58"/>
      <c r="AU58"/>
      <c r="AV58"/>
      <c r="AW58"/>
      <c r="AX58"/>
    </row>
    <row r="59" spans="3:50" ht="14.25" thickBot="1">
      <c r="C59" s="1" t="s">
        <v>100</v>
      </c>
      <c r="D59" s="5">
        <v>6647</v>
      </c>
      <c r="E59" s="12">
        <v>721</v>
      </c>
      <c r="F59" s="13">
        <v>746</v>
      </c>
      <c r="G59" s="13">
        <v>810</v>
      </c>
      <c r="H59" s="13">
        <v>829</v>
      </c>
      <c r="I59" s="14">
        <v>913</v>
      </c>
      <c r="J59" s="1">
        <f t="shared" si="26"/>
        <v>4019</v>
      </c>
      <c r="K59" s="1">
        <f t="shared" si="27"/>
        <v>0.12092673386490146</v>
      </c>
      <c r="L59" s="1">
        <f t="shared" si="28"/>
        <v>0.6046336693245074</v>
      </c>
      <c r="P59" s="1">
        <f t="shared" si="29"/>
        <v>57136.435978584406</v>
      </c>
      <c r="Q59" s="1">
        <f>P59</f>
        <v>57136.435978584406</v>
      </c>
      <c r="T59" s="1">
        <f>1.1383*U58</f>
        <v>373179.89528501505</v>
      </c>
      <c r="U59" s="1">
        <f>T59</f>
        <v>373179.89528501505</v>
      </c>
      <c r="V59" s="1">
        <f>U59</f>
        <v>373179.89528501505</v>
      </c>
      <c r="W59" s="5">
        <f t="shared" si="23"/>
        <v>6.531382101342277</v>
      </c>
      <c r="X59" s="1" t="s">
        <v>100</v>
      </c>
      <c r="Z59"/>
      <c r="AC59" t="s">
        <v>61</v>
      </c>
      <c r="AD59">
        <f t="shared" si="32"/>
        <v>6647</v>
      </c>
      <c r="AE59">
        <f t="shared" si="33"/>
        <v>4297</v>
      </c>
      <c r="AF59">
        <f t="shared" si="34"/>
        <v>0.6464570482924628</v>
      </c>
      <c r="AG59">
        <f t="shared" si="35"/>
        <v>0.35354295170753725</v>
      </c>
      <c r="AI59"/>
      <c r="AJ59" t="s">
        <v>57</v>
      </c>
      <c r="AK59">
        <f>P56</f>
        <v>89023.48373072065</v>
      </c>
      <c r="AL59" s="30">
        <f>AN27/AK59</f>
        <v>12.58418969518897</v>
      </c>
      <c r="AM59" s="30" t="s">
        <v>98</v>
      </c>
      <c r="AN59"/>
      <c r="AO59"/>
      <c r="AP59"/>
      <c r="AQ59"/>
      <c r="AR59"/>
      <c r="AS59"/>
      <c r="AT59"/>
      <c r="AU59"/>
      <c r="AV59"/>
      <c r="AW59"/>
      <c r="AX59"/>
    </row>
    <row r="60" spans="26:50" ht="13.5">
      <c r="Z60"/>
      <c r="AC60" t="s">
        <v>62</v>
      </c>
      <c r="AD60">
        <f t="shared" si="32"/>
        <v>0</v>
      </c>
      <c r="AE60">
        <f t="shared" si="33"/>
        <v>0</v>
      </c>
      <c r="AF60" t="e">
        <f t="shared" si="34"/>
        <v>#DIV/0!</v>
      </c>
      <c r="AG60" t="e">
        <f t="shared" si="35"/>
        <v>#DIV/0!</v>
      </c>
      <c r="AI60"/>
      <c r="AJ60" t="s">
        <v>59</v>
      </c>
      <c r="AK60">
        <f>P57</f>
        <v>83053.94083786508</v>
      </c>
      <c r="AL60" s="30">
        <f>AN28/AK60</f>
        <v>8.57543412390729</v>
      </c>
      <c r="AM60" s="30" t="s">
        <v>99</v>
      </c>
      <c r="AN60"/>
      <c r="AO60"/>
      <c r="AP60"/>
      <c r="AQ60"/>
      <c r="AR60"/>
      <c r="AS60"/>
      <c r="AT60"/>
      <c r="AU60"/>
      <c r="AV60"/>
      <c r="AW60"/>
      <c r="AX60"/>
    </row>
    <row r="61" spans="26:50" ht="14.25" thickBot="1">
      <c r="Z61"/>
      <c r="AC61" t="s">
        <v>112</v>
      </c>
      <c r="AD61">
        <f t="shared" si="32"/>
        <v>0</v>
      </c>
      <c r="AE61">
        <f t="shared" si="33"/>
        <v>0</v>
      </c>
      <c r="AF61" t="e">
        <f t="shared" si="34"/>
        <v>#DIV/0!</v>
      </c>
      <c r="AG61" t="e">
        <f t="shared" si="35"/>
        <v>#DIV/0!</v>
      </c>
      <c r="AI61"/>
      <c r="AJ61" t="s">
        <v>102</v>
      </c>
      <c r="AK61">
        <f>P58</f>
        <v>72980.946506574</v>
      </c>
      <c r="AL61" s="31">
        <f>AN29/AK61</f>
        <v>5.152075989574093</v>
      </c>
      <c r="AM61" s="31" t="s">
        <v>103</v>
      </c>
      <c r="AN61"/>
      <c r="AO61"/>
      <c r="AP61"/>
      <c r="AQ61"/>
      <c r="AR61"/>
      <c r="AS61"/>
      <c r="AT61"/>
      <c r="AU61"/>
      <c r="AV61"/>
      <c r="AW61"/>
      <c r="AX61"/>
    </row>
    <row r="62" spans="26:50" ht="13.5">
      <c r="Z62"/>
      <c r="AC62" t="s">
        <v>64</v>
      </c>
      <c r="AD62">
        <f t="shared" si="32"/>
        <v>0</v>
      </c>
      <c r="AE62">
        <f t="shared" si="33"/>
        <v>0</v>
      </c>
      <c r="AF62" t="e">
        <f t="shared" si="34"/>
        <v>#DIV/0!</v>
      </c>
      <c r="AG62" t="e">
        <f t="shared" si="35"/>
        <v>#DIV/0!</v>
      </c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26:50" ht="13.5">
      <c r="Z63"/>
      <c r="AA63"/>
      <c r="AB63"/>
      <c r="AC63" t="s">
        <v>51</v>
      </c>
      <c r="AD63">
        <f t="shared" si="32"/>
        <v>61393</v>
      </c>
      <c r="AE63">
        <f t="shared" si="33"/>
        <v>9200</v>
      </c>
      <c r="AF63">
        <f t="shared" si="34"/>
        <v>0.14985421790757905</v>
      </c>
      <c r="AG63">
        <f t="shared" si="35"/>
        <v>0.850145782092421</v>
      </c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26:50" ht="13.5">
      <c r="Z64"/>
      <c r="AA64"/>
      <c r="AB64"/>
      <c r="AC64" t="s">
        <v>100</v>
      </c>
      <c r="AD64">
        <f t="shared" si="32"/>
        <v>6647</v>
      </c>
      <c r="AE64">
        <f t="shared" si="33"/>
        <v>4297</v>
      </c>
      <c r="AF64">
        <f t="shared" si="34"/>
        <v>0.6464570482924628</v>
      </c>
      <c r="AG64">
        <f t="shared" si="35"/>
        <v>0.35354295170753725</v>
      </c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</row>
    <row r="65" spans="29:33" ht="13.5">
      <c r="AC65"/>
      <c r="AD65"/>
      <c r="AE65"/>
      <c r="AF65"/>
      <c r="AG65"/>
    </row>
    <row r="66" ht="13.5">
      <c r="AC66" s="1" t="s">
        <v>108</v>
      </c>
    </row>
    <row r="67" spans="29:31" ht="13.5">
      <c r="AC67"/>
      <c r="AD67"/>
      <c r="AE67"/>
    </row>
    <row r="68" spans="29:30" ht="13.5">
      <c r="AC68"/>
      <c r="AD68"/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workbookViewId="0" topLeftCell="A1">
      <selection activeCell="B22" sqref="B22"/>
    </sheetView>
  </sheetViews>
  <sheetFormatPr defaultColWidth="9.00390625" defaultRowHeight="13.5"/>
  <cols>
    <col min="1" max="2" width="9.00390625" style="1" customWidth="1"/>
    <col min="3" max="4" width="10.25390625" style="1" customWidth="1"/>
    <col min="5" max="9" width="9.00390625" style="1" customWidth="1"/>
    <col min="10" max="10" width="9.875" style="1" customWidth="1"/>
    <col min="11" max="16384" width="9.00390625" style="1" customWidth="1"/>
  </cols>
  <sheetData>
    <row r="1" spans="1:25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3.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3.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3.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3.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3.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3.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3.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3.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3.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3.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3.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3.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3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3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3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3.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3.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3.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3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3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健康寿命の計算</dc:title>
  <dc:subject/>
  <dc:creator>切明　義孝</dc:creator>
  <cp:keywords/>
  <dc:description/>
  <cp:lastModifiedBy>切明　義孝</cp:lastModifiedBy>
  <cp:lastPrinted>2001-01-26T16:09:49Z</cp:lastPrinted>
  <dcterms:created xsi:type="dcterms:W3CDTF">1998-06-17T07:56:53Z</dcterms:created>
  <dcterms:modified xsi:type="dcterms:W3CDTF">2001-04-03T11:34:45Z</dcterms:modified>
  <cp:category/>
  <cp:version/>
  <cp:contentType/>
  <cp:contentStatus/>
</cp:coreProperties>
</file>